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2000" windowHeight="5220" tabRatio="598" firstSheet="7" activeTab="9"/>
  </bookViews>
  <sheets>
    <sheet name="Primary Sources" sheetId="1" r:id="rId1"/>
    <sheet name="Secondary Sources" sheetId="2" r:id="rId2"/>
    <sheet name="Existing Management Practices" sheetId="3" r:id="rId3"/>
    <sheet name="Future Management Practices" sheetId="4" r:id="rId4"/>
    <sheet name="Future Land Use" sheetId="5" r:id="rId5"/>
    <sheet name="New Development" sheetId="6" r:id="rId6"/>
    <sheet name="Discounts - Existing" sheetId="7" r:id="rId7"/>
    <sheet name="Discounts - Future" sheetId="8" r:id="rId8"/>
    <sheet name="Existing Loads" sheetId="9" r:id="rId9"/>
    <sheet name="Loads with Future Practices" sheetId="10" r:id="rId10"/>
    <sheet name="Loads Including Growth" sheetId="11" r:id="rId11"/>
    <sheet name="Summary Sheet" sheetId="12" r:id="rId12"/>
  </sheets>
  <definedNames>
    <definedName name="_xlnm.Print_Area" localSheetId="2">'Existing Management Practices'!$B$5:$E$139</definedName>
    <definedName name="_xlnm.Print_Area" localSheetId="0">'Primary Sources'!$B$6:$E$54</definedName>
    <definedName name="_xlnm.Print_Area" localSheetId="1">'Secondary Sources'!$B$1:$E$124</definedName>
  </definedNames>
  <calcPr fullCalcOnLoad="1"/>
</workbook>
</file>

<file path=xl/comments3.xml><?xml version="1.0" encoding="utf-8"?>
<comments xmlns="http://schemas.openxmlformats.org/spreadsheetml/2006/main">
  <authors>
    <author>r</author>
    <author>Deb Caraco</author>
  </authors>
  <commentList>
    <comment ref="C78" authorId="0">
      <text>
        <r>
          <rPr>
            <b/>
            <sz val="8"/>
            <rFont val="Tahoma"/>
            <family val="0"/>
          </rPr>
          <t xml:space="preserve">Capture Discount:
</t>
        </r>
        <r>
          <rPr>
            <sz val="8"/>
            <rFont val="Tahoma"/>
            <family val="2"/>
          </rPr>
          <t>Fraction of Annual Rainfall Captured by the Structure.  Based on the "Rainfall Frequency Spectrum" (See Chapter 8 for more details).</t>
        </r>
      </text>
    </comment>
    <comment ref="B78" authorId="0">
      <text>
        <r>
          <rPr>
            <b/>
            <sz val="8"/>
            <rFont val="Tahoma"/>
            <family val="0"/>
          </rPr>
          <t xml:space="preserve">Treatability:
</t>
        </r>
        <r>
          <rPr>
            <sz val="8"/>
            <rFont val="Tahoma"/>
            <family val="2"/>
          </rPr>
          <t>Fraction of impervious cover captured by stormwater treatment practices.</t>
        </r>
      </text>
    </comment>
    <comment ref="D78" authorId="0">
      <text>
        <r>
          <rPr>
            <b/>
            <sz val="8"/>
            <rFont val="Tahoma"/>
            <family val="0"/>
          </rPr>
          <t xml:space="preserve">Design Discount:
</t>
        </r>
        <r>
          <rPr>
            <sz val="8"/>
            <rFont val="Tahoma"/>
            <family val="2"/>
          </rPr>
          <t>Depends on Design Standards. (See  Chapter 8 for more detail).
Specific, Legally Binding Standards           1.2
Specific Standards, not Legally Binding     1.0
Less specific Standards,legally binding      1.0
No Standards                                             0.8</t>
        </r>
      </text>
    </comment>
    <comment ref="E78" authorId="0">
      <text>
        <r>
          <rPr>
            <b/>
            <sz val="8"/>
            <rFont val="Tahoma"/>
            <family val="0"/>
          </rPr>
          <t xml:space="preserve">Maintenance Discount:
</t>
        </r>
        <r>
          <rPr>
            <sz val="8"/>
            <rFont val="Tahoma"/>
            <family val="2"/>
          </rPr>
          <t>Factor to Account for Maintenance Practices (See Chapter 8 for a more detailed description)
Regular  Maintenance Specified and Enforced       0.9
Maintenance Specified but Poorly Enforced           0.6
No guidance for Maintenance                                 0.5</t>
        </r>
      </text>
    </comment>
    <comment ref="C12" authorId="0">
      <text>
        <r>
          <rPr>
            <b/>
            <sz val="8"/>
            <rFont val="Tahoma"/>
            <family val="2"/>
          </rPr>
          <t>Fraction who Remember the Message:</t>
        </r>
        <r>
          <rPr>
            <sz val="8"/>
            <rFont val="Tahoma"/>
            <family val="0"/>
          </rPr>
          <t xml:space="preserve">
Calculated based on Media Type
Televsion = 0.4
Radio = 0.25
Newspaper = 0.3
Billboard = 0.13
Brochure = .08
Workshop = 0.07</t>
        </r>
      </text>
    </comment>
    <comment ref="C27" authorId="0">
      <text>
        <r>
          <rPr>
            <b/>
            <sz val="8"/>
            <rFont val="Tahoma"/>
            <family val="2"/>
          </rPr>
          <t>Fraction who Remember the Message:</t>
        </r>
        <r>
          <rPr>
            <sz val="8"/>
            <rFont val="Tahoma"/>
            <family val="0"/>
          </rPr>
          <t xml:space="preserve">
Calculated based on Media Type
Televsion = 0.4
Radio = 0.25
Newspaper = 0.3
Billboard = 0.13
Brochure = .08
Workshop = 0.07</t>
        </r>
      </text>
    </comment>
    <comment ref="C40" authorId="1">
      <text>
        <r>
          <rPr>
            <b/>
            <sz val="8"/>
            <rFont val="Tahoma"/>
            <family val="0"/>
          </rPr>
          <t>Compliance Discount:</t>
        </r>
        <r>
          <rPr>
            <sz val="8"/>
            <rFont val="Tahoma"/>
            <family val="0"/>
          </rPr>
          <t xml:space="preserve">
Estimates fraction of practices installed, based on program type.
Few inspectors, no pre-construction meeting      0.4
Inspectors can visit monthly; pre-construction for larger sites   0.7
Inspectors can visit weekly, or certified inspectors:   0.9</t>
        </r>
      </text>
    </comment>
    <comment ref="C41" authorId="1">
      <text>
        <r>
          <rPr>
            <b/>
            <sz val="8"/>
            <rFont val="Tahoma"/>
            <family val="0"/>
          </rPr>
          <t xml:space="preserve">Installation/ Maintenance Discount:
</t>
        </r>
        <r>
          <rPr>
            <sz val="8"/>
            <rFont val="Tahoma"/>
            <family val="2"/>
          </rPr>
          <t>Factor to account for improperly located, installed or maintained practices.
Few inspectors, no pre-construction meeting, poor practices included in manual      0.3
Inspectors can visit monthly; pre-construction for larger sites, some poor practices removed from the manual   0.6
Inspectors can visit weekly, or certified inspectors, contractor education, poor performing practices omitted:   0.9</t>
        </r>
      </text>
    </comment>
    <comment ref="C91" authorId="1">
      <text>
        <r>
          <rPr>
            <b/>
            <sz val="8"/>
            <rFont val="Tahoma"/>
            <family val="2"/>
          </rPr>
          <t>Design Factor:</t>
        </r>
        <r>
          <rPr>
            <sz val="8"/>
            <rFont val="Tahoma"/>
            <family val="0"/>
          </rPr>
          <t xml:space="preserve">
No Guidance.  Buffer is a Setback.        0.25
Volunteer Design Criteria                       0.5
Enforcable Design Criteria                      1.0
</t>
        </r>
      </text>
    </comment>
    <comment ref="C92" authorId="1">
      <text>
        <r>
          <rPr>
            <b/>
            <sz val="8"/>
            <rFont val="Tahoma"/>
            <family val="0"/>
          </rPr>
          <t>Maintenance Factor:</t>
        </r>
        <r>
          <rPr>
            <sz val="8"/>
            <rFont val="Tahoma"/>
            <family val="2"/>
          </rPr>
          <t xml:space="preserve">
Specific ordinance, with enforcement and education included      0.9
Ordinance specifies activities, but no enforcement or education  0.6
Ordinance has no restriction on activities within the buffer   0.4</t>
        </r>
        <r>
          <rPr>
            <sz val="8"/>
            <rFont val="Tahoma"/>
            <family val="0"/>
          </rPr>
          <t xml:space="preserve">
</t>
        </r>
      </text>
    </comment>
    <comment ref="C106" authorId="1">
      <text>
        <r>
          <rPr>
            <sz val="8"/>
            <rFont val="Tahoma"/>
            <family val="0"/>
          </rPr>
          <t xml:space="preserve">Fraction of Boat Owners willing to use.  Default is 0.9.
</t>
        </r>
      </text>
    </comment>
    <comment ref="C100" authorId="1">
      <text>
        <r>
          <rPr>
            <b/>
            <sz val="8"/>
            <rFont val="Tahoma"/>
            <family val="0"/>
          </rPr>
          <t xml:space="preserve">Disposal Factor:
</t>
        </r>
        <r>
          <rPr>
            <sz val="8"/>
            <rFont val="Tahoma"/>
            <family val="2"/>
          </rPr>
          <t>Regulations Prohibit Landfill Disposal:  0.5
No Prohibitions   1.0</t>
        </r>
        <r>
          <rPr>
            <sz val="8"/>
            <rFont val="Tahoma"/>
            <family val="0"/>
          </rPr>
          <t xml:space="preserve">
</t>
        </r>
      </text>
    </comment>
    <comment ref="C90" authorId="1">
      <text>
        <r>
          <rPr>
            <b/>
            <sz val="8"/>
            <rFont val="Tahoma"/>
            <family val="0"/>
          </rPr>
          <t xml:space="preserve">Treatabilityr:
</t>
        </r>
        <r>
          <rPr>
            <sz val="8"/>
            <rFont val="Tahoma"/>
            <family val="2"/>
          </rPr>
          <t>Fraction of watershed area treated by the buffer</t>
        </r>
        <r>
          <rPr>
            <b/>
            <sz val="8"/>
            <rFont val="Tahoma"/>
            <family val="0"/>
          </rPr>
          <t xml:space="preserve">
</t>
        </r>
      </text>
    </comment>
    <comment ref="C51" authorId="1">
      <text>
        <r>
          <rPr>
            <b/>
            <sz val="8"/>
            <rFont val="Tahoma"/>
            <family val="0"/>
          </rPr>
          <t>Technique Discount</t>
        </r>
        <r>
          <rPr>
            <sz val="8"/>
            <rFont val="Tahoma"/>
            <family val="2"/>
          </rPr>
          <t xml:space="preserve">
No parking restrictions or operator training:   0.5
Parking restrictions, no operator training:  0.75
Paring restricitons; operator training: 1.0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Deb Caraco</author>
    <author>r</author>
  </authors>
  <commentList>
    <comment ref="B119" authorId="0">
      <text>
        <r>
          <rPr>
            <b/>
            <sz val="8"/>
            <rFont val="Tahoma"/>
            <family val="0"/>
          </rPr>
          <t>Land Reclamation is Not Included in the Existing Management Practices.</t>
        </r>
        <r>
          <rPr>
            <sz val="8"/>
            <rFont val="Tahoma"/>
            <family val="0"/>
          </rPr>
          <t xml:space="preserve">
</t>
        </r>
      </text>
    </comment>
    <comment ref="B144" authorId="0">
      <text>
        <r>
          <rPr>
            <b/>
            <sz val="8"/>
            <rFont val="Tahoma"/>
            <family val="0"/>
          </rPr>
          <t>Impervious Cover Reduction is Not Included in the Existing Management Practices.</t>
        </r>
      </text>
    </comment>
    <comment ref="B151" authorId="0">
      <text>
        <r>
          <rPr>
            <b/>
            <sz val="8"/>
            <rFont val="Tahoma"/>
            <family val="0"/>
          </rPr>
          <t>Stormwater Retrofits Are Not Included in the Existing Management Practices.</t>
        </r>
      </text>
    </comment>
    <comment ref="B181" authorId="0">
      <text>
        <r>
          <rPr>
            <b/>
            <sz val="8"/>
            <rFont val="Tahoma"/>
            <family val="0"/>
          </rPr>
          <t>Illicit Connection Removal is Not Included in the Existing Management Practices.</t>
        </r>
      </text>
    </comment>
    <comment ref="B186" authorId="1">
      <text>
        <r>
          <rPr>
            <b/>
            <sz val="8"/>
            <rFont val="Tahoma"/>
            <family val="0"/>
          </rPr>
          <t>CSO Repair is Not Included in the Existing Management Practices.</t>
        </r>
      </text>
    </comment>
    <comment ref="B191" authorId="1">
      <text>
        <r>
          <rPr>
            <b/>
            <sz val="8"/>
            <rFont val="Tahoma"/>
            <family val="0"/>
          </rPr>
          <t>SSO Repair is Not Included in the Existing Management Practices.</t>
        </r>
      </text>
    </comment>
    <comment ref="B196" authorId="1">
      <text>
        <r>
          <rPr>
            <b/>
            <sz val="8"/>
            <rFont val="Tahoma"/>
            <family val="0"/>
          </rPr>
          <t>Septic System Repair is Not Included in the Existing Management Practices.</t>
        </r>
      </text>
    </comment>
    <comment ref="B203" authorId="1">
      <text>
        <r>
          <rPr>
            <b/>
            <sz val="8"/>
            <rFont val="Tahoma"/>
            <family val="0"/>
          </rPr>
          <t>Septic System Upgrades are Not Included in the Existing Management Practices.</t>
        </r>
      </text>
    </comment>
    <comment ref="B113" authorId="1">
      <text>
        <r>
          <rPr>
            <b/>
            <sz val="8"/>
            <rFont val="Tahoma"/>
            <family val="0"/>
          </rPr>
          <t>Septic Education is Not Included in the Existing Management Practices.</t>
        </r>
      </text>
    </comment>
    <comment ref="C171" authorId="1">
      <text>
        <r>
          <rPr>
            <b/>
            <sz val="8"/>
            <rFont val="Tahoma"/>
            <family val="0"/>
          </rPr>
          <t xml:space="preserve">Capture Discount:
</t>
        </r>
        <r>
          <rPr>
            <sz val="8"/>
            <rFont val="Tahoma"/>
            <family val="2"/>
          </rPr>
          <t>Fraction of Annual Rainfall Captured by the Structure.  Based on the "Rainfall Frequency Spectrum" (See Chatper 8 for more details).</t>
        </r>
      </text>
    </comment>
    <comment ref="D171" authorId="1">
      <text>
        <r>
          <rPr>
            <b/>
            <sz val="8"/>
            <rFont val="Tahoma"/>
            <family val="0"/>
          </rPr>
          <t xml:space="preserve">Design Discount (D3):
</t>
        </r>
        <r>
          <rPr>
            <sz val="8"/>
            <rFont val="Tahoma"/>
            <family val="2"/>
          </rPr>
          <t>Factor to account for design variability (See Section III-11)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Community/ firm is very experienced                        0.8
Community/ firm is new to stormwater retrofitting   1.0</t>
        </r>
      </text>
    </comment>
    <comment ref="E171" authorId="1">
      <text>
        <r>
          <rPr>
            <b/>
            <sz val="8"/>
            <rFont val="Tahoma"/>
            <family val="0"/>
          </rPr>
          <t xml:space="preserve">Maintenance Factor:
</t>
        </r>
        <r>
          <rPr>
            <sz val="8"/>
            <rFont val="Tahoma"/>
            <family val="2"/>
          </rPr>
          <t>Factor to Account for Maintenance Practices (See Chapter 8)
Regular  Maintenance Specified and Enforced       0.9
Maintenance Specified but Poorly Enforced           0.6
No guidance for Maintenance                                 0.5</t>
        </r>
      </text>
    </comment>
    <comment ref="C199" authorId="1">
      <text>
        <r>
          <rPr>
            <b/>
            <sz val="8"/>
            <rFont val="Tahoma"/>
            <family val="0"/>
          </rPr>
          <t xml:space="preserve">Fraction Inspected:
</t>
        </r>
        <r>
          <rPr>
            <sz val="8"/>
            <rFont val="Tahoma"/>
            <family val="2"/>
          </rPr>
          <t>Depends on the program.  Mandatory inspection will yield a value of 1.0.</t>
        </r>
        <r>
          <rPr>
            <sz val="8"/>
            <rFont val="Tahoma"/>
            <family val="0"/>
          </rPr>
          <t xml:space="preserve">
</t>
        </r>
      </text>
    </comment>
    <comment ref="C200" authorId="1">
      <text>
        <r>
          <rPr>
            <b/>
            <sz val="8"/>
            <rFont val="Tahoma"/>
            <family val="0"/>
          </rPr>
          <t>Fraction Willing to Repair:</t>
        </r>
        <r>
          <rPr>
            <sz val="8"/>
            <rFont val="Tahoma"/>
            <family val="2"/>
          </rPr>
          <t xml:space="preserve">
No incentive or fine:  0.6
Fines or cost share:   0.9</t>
        </r>
        <r>
          <rPr>
            <sz val="8"/>
            <rFont val="Tahoma"/>
            <family val="0"/>
          </rPr>
          <t xml:space="preserve">
</t>
        </r>
      </text>
    </comment>
    <comment ref="C206" authorId="1">
      <text>
        <r>
          <rPr>
            <b/>
            <sz val="8"/>
            <rFont val="Tahoma"/>
            <family val="0"/>
          </rPr>
          <t xml:space="preserve">Fraction Inspected:
</t>
        </r>
        <r>
          <rPr>
            <sz val="8"/>
            <rFont val="Tahoma"/>
            <family val="2"/>
          </rPr>
          <t>Depends on the program.  Mandatory inspection will yield a value of 1.0.</t>
        </r>
        <r>
          <rPr>
            <sz val="8"/>
            <rFont val="Tahoma"/>
            <family val="0"/>
          </rPr>
          <t xml:space="preserve">
</t>
        </r>
      </text>
    </comment>
    <comment ref="C207" authorId="1">
      <text>
        <r>
          <rPr>
            <b/>
            <sz val="8"/>
            <rFont val="Tahoma"/>
            <family val="0"/>
          </rPr>
          <t xml:space="preserve">Fraction Willing to Upgrade:
</t>
        </r>
        <r>
          <rPr>
            <sz val="8"/>
            <rFont val="Tahoma"/>
            <family val="2"/>
          </rPr>
          <t>No incentive or fine:  0.1
Fines or cost share:   0.5</t>
        </r>
      </text>
    </comment>
    <comment ref="C12" authorId="1">
      <text>
        <r>
          <rPr>
            <b/>
            <sz val="8"/>
            <rFont val="Tahoma"/>
            <family val="2"/>
          </rPr>
          <t>Fraction who Remember the Message:</t>
        </r>
        <r>
          <rPr>
            <sz val="8"/>
            <rFont val="Tahoma"/>
            <family val="0"/>
          </rPr>
          <t xml:space="preserve">
Calculated based on Media Type
Televsion = 0.4
Radio = 0.25
Newspaper = 0.3
Billboard = 0.13
Brochure = .08
Workshop = 0.07</t>
        </r>
      </text>
    </comment>
    <comment ref="C40" authorId="0">
      <text>
        <r>
          <rPr>
            <b/>
            <sz val="8"/>
            <rFont val="Tahoma"/>
            <family val="0"/>
          </rPr>
          <t>Compliance Discount:</t>
        </r>
        <r>
          <rPr>
            <sz val="8"/>
            <rFont val="Tahoma"/>
            <family val="0"/>
          </rPr>
          <t xml:space="preserve">
Estimates fraction of practices installed, based on program type.
Few inspectors, no pre-construction meeting      0.4
Inspectors can visit monthly; pre-construction for larger sites   0.7
Inspectors can visit weekly, or certified inspectors:   0.9</t>
        </r>
      </text>
    </comment>
    <comment ref="C41" authorId="0">
      <text>
        <r>
          <rPr>
            <b/>
            <sz val="8"/>
            <rFont val="Tahoma"/>
            <family val="0"/>
          </rPr>
          <t xml:space="preserve">Installation/ Maintenance Discount:
</t>
        </r>
        <r>
          <rPr>
            <sz val="8"/>
            <rFont val="Tahoma"/>
            <family val="2"/>
          </rPr>
          <t>Factor to account for improperly located, installed or maintained practices.
Few inspectors, no pre-construction meeting, poor practices included in manual      0.3
Inspectors can visit monthly; pre-construction for larger sites, some poor practices removed from the manual   0.6
Inspectors can visit weekly, or certified inspectors, contractor education, poor performing practices omitted:   0.9</t>
        </r>
      </text>
    </comment>
    <comment ref="C51" authorId="0">
      <text>
        <r>
          <rPr>
            <b/>
            <sz val="8"/>
            <rFont val="Tahoma"/>
            <family val="0"/>
          </rPr>
          <t>Technique Discount:</t>
        </r>
        <r>
          <rPr>
            <sz val="8"/>
            <rFont val="Tahoma"/>
            <family val="0"/>
          </rPr>
          <t xml:space="preserve">
Street Parking, No Requirements for Sweeping   0.5
No Parking, No sweeper training  0.75
No Parking, Sweeper Training  1.0</t>
        </r>
      </text>
    </comment>
    <comment ref="B83" authorId="1">
      <text>
        <r>
          <rPr>
            <b/>
            <sz val="8"/>
            <rFont val="Tahoma"/>
            <family val="0"/>
          </rPr>
          <t xml:space="preserve">Treatability Discount:
</t>
        </r>
        <r>
          <rPr>
            <sz val="8"/>
            <rFont val="Tahoma"/>
            <family val="2"/>
          </rPr>
          <t>Fraction of impervious cover captured by stormwater treatment practices.</t>
        </r>
      </text>
    </comment>
    <comment ref="C83" authorId="1">
      <text>
        <r>
          <rPr>
            <b/>
            <sz val="8"/>
            <rFont val="Tahoma"/>
            <family val="0"/>
          </rPr>
          <t xml:space="preserve">Capture Discount:
</t>
        </r>
        <r>
          <rPr>
            <sz val="8"/>
            <rFont val="Tahoma"/>
            <family val="2"/>
          </rPr>
          <t>Fraction of Annual Rainfall Captured by the Structure.  Based on the "Rainfall Frequency Spectrum" (See Chapter 8 for more details).</t>
        </r>
      </text>
    </comment>
    <comment ref="D83" authorId="1">
      <text>
        <r>
          <rPr>
            <b/>
            <sz val="8"/>
            <rFont val="Tahoma"/>
            <family val="0"/>
          </rPr>
          <t xml:space="preserve">Design Discount:
</t>
        </r>
        <r>
          <rPr>
            <sz val="8"/>
            <rFont val="Tahoma"/>
            <family val="2"/>
          </rPr>
          <t>Depends on Design Standards. (See Chapter 8 for more detail).
Specific, Legally Binding Standards           1.2
Specific Standards, not Legally Binding     1.0
Less specific Standards,legally binding      1.0
No Standards                                             0.8</t>
        </r>
      </text>
    </comment>
    <comment ref="E83" authorId="1">
      <text>
        <r>
          <rPr>
            <b/>
            <sz val="8"/>
            <rFont val="Tahoma"/>
            <family val="0"/>
          </rPr>
          <t xml:space="preserve">Maintenance Discount:
</t>
        </r>
        <r>
          <rPr>
            <sz val="8"/>
            <rFont val="Tahoma"/>
            <family val="2"/>
          </rPr>
          <t>Factor to Account for Maintenance Practices (See Chatper 8 for a more detailed description)
Regular  Maintenance Specified and Enforced       0.9
Maintenance Specified but Poorly Enforced           0.6
No guidance for Maintenance                                 0.5</t>
        </r>
      </text>
    </comment>
    <comment ref="C95" authorId="0">
      <text>
        <r>
          <rPr>
            <b/>
            <sz val="8"/>
            <rFont val="Tahoma"/>
            <family val="0"/>
          </rPr>
          <t xml:space="preserve">Treatabilityr:
</t>
        </r>
        <r>
          <rPr>
            <sz val="8"/>
            <rFont val="Tahoma"/>
            <family val="2"/>
          </rPr>
          <t>Fraction of watershed area treated by the buffer</t>
        </r>
        <r>
          <rPr>
            <b/>
            <sz val="8"/>
            <rFont val="Tahoma"/>
            <family val="0"/>
          </rPr>
          <t xml:space="preserve">
</t>
        </r>
      </text>
    </comment>
    <comment ref="C105" authorId="0">
      <text>
        <r>
          <rPr>
            <b/>
            <sz val="8"/>
            <rFont val="Tahoma"/>
            <family val="0"/>
          </rPr>
          <t xml:space="preserve">Disposal Factor:
</t>
        </r>
        <r>
          <rPr>
            <sz val="8"/>
            <rFont val="Tahoma"/>
            <family val="2"/>
          </rPr>
          <t>Regulations Prohibit Landfill Disposal:  0.5
No Prohibitions   1.0</t>
        </r>
        <r>
          <rPr>
            <sz val="8"/>
            <rFont val="Tahoma"/>
            <family val="0"/>
          </rPr>
          <t xml:space="preserve">
</t>
        </r>
      </text>
    </comment>
    <comment ref="C111" authorId="0">
      <text>
        <r>
          <rPr>
            <sz val="8"/>
            <rFont val="Tahoma"/>
            <family val="0"/>
          </rPr>
          <t xml:space="preserve">Fraction of Boat Owners willing to use.  Default is 0.9.
</t>
        </r>
      </text>
    </comment>
    <comment ref="B2" authorId="1">
      <text>
        <r>
          <rPr>
            <b/>
            <sz val="8"/>
            <rFont val="Tahoma"/>
            <family val="0"/>
          </rPr>
          <t>The Management Practices Represented on this Page should include both current and future management practices.  For example, if a lawn care education program is currently in place, this program should appear on this sheet, even if there are no plans to expand it.</t>
        </r>
      </text>
    </comment>
    <comment ref="C116" authorId="1">
      <text>
        <r>
          <rPr>
            <b/>
            <sz val="8"/>
            <rFont val="Tahoma"/>
            <family val="2"/>
          </rPr>
          <t>Fraction who Remember the Message:</t>
        </r>
        <r>
          <rPr>
            <sz val="8"/>
            <rFont val="Tahoma"/>
            <family val="0"/>
          </rPr>
          <t xml:space="preserve">
Calculated based on Media Type
Televsion = 0.4
Radio = 0.25
Newspaper = 0.3
Billboard = 0.13
Brochure = .08
Workshop = 0.07</t>
        </r>
      </text>
    </comment>
    <comment ref="C155" authorId="1">
      <text>
        <r>
          <rPr>
            <b/>
            <sz val="8"/>
            <rFont val="Tahoma"/>
            <family val="0"/>
          </rPr>
          <t>Typically higher treatability with lower imperviuos cover.  
&lt;60%:  0.4-0.6
&gt;60%:  0.2-0.4</t>
        </r>
      </text>
    </comment>
    <comment ref="C157" authorId="1">
      <text>
        <r>
          <rPr>
            <b/>
            <sz val="8"/>
            <rFont val="Tahoma"/>
            <family val="0"/>
          </rPr>
          <t>Estimate based on impervious cover.  Can be modified</t>
        </r>
      </text>
    </comment>
    <comment ref="C179" authorId="1">
      <text>
        <r>
          <rPr>
            <b/>
            <sz val="8"/>
            <rFont val="Tahoma"/>
            <family val="0"/>
          </rPr>
          <t>Fraction of the subwatershed with flow control for small (&lt;1-year) storm events.</t>
        </r>
      </text>
    </comment>
    <comment ref="C57" authorId="0">
      <text>
        <r>
          <rPr>
            <b/>
            <sz val="8"/>
            <rFont val="Tahoma"/>
            <family val="0"/>
          </rPr>
          <t>Treatability:  Fraction of Land where the Technique can be applied (Typically only on Lots Less than 1/8 of an Acre)</t>
        </r>
      </text>
    </comment>
    <comment ref="C58" authorId="0">
      <text>
        <r>
          <rPr>
            <b/>
            <sz val="8"/>
            <rFont val="Tahoma"/>
            <family val="0"/>
          </rPr>
          <t xml:space="preserve">Fraction who Remember the Message:
Calculated based on Media Type
</t>
        </r>
        <r>
          <rPr>
            <sz val="8"/>
            <rFont val="Tahoma"/>
            <family val="2"/>
          </rPr>
          <t>Televsion = 0.4
Radio = 0.25
Newspaper = 0.3
Billboard = 0.13
Brochure = .08
Workshop = 0.07</t>
        </r>
      </text>
    </comment>
    <comment ref="C59" authorId="0">
      <text>
        <r>
          <rPr>
            <b/>
            <sz val="8"/>
            <rFont val="Tahoma"/>
            <family val="0"/>
          </rPr>
          <t>Fraction Willing to Participate.  (Default is 0.25)</t>
        </r>
      </text>
    </comment>
    <comment ref="C65" authorId="0">
      <text>
        <r>
          <rPr>
            <b/>
            <sz val="8"/>
            <rFont val="Tahoma"/>
            <family val="0"/>
          </rPr>
          <t xml:space="preserve">Fraction of </t>
        </r>
        <r>
          <rPr>
            <sz val="8"/>
            <rFont val="Tahoma"/>
            <family val="2"/>
          </rPr>
          <t>Commercial Land Where Technique Can Be Applied (Default is 0.25)</t>
        </r>
      </text>
    </comment>
    <comment ref="C67" authorId="0">
      <text>
        <r>
          <rPr>
            <b/>
            <sz val="8"/>
            <rFont val="Tahoma"/>
            <family val="0"/>
          </rPr>
          <t xml:space="preserve">Fraction Willing To Participate 
</t>
        </r>
        <r>
          <rPr>
            <sz val="8"/>
            <rFont val="Tahoma"/>
            <family val="2"/>
          </rPr>
          <t>Assumption:  
0.1 (no incentive)
0.3 (incentive)</t>
        </r>
      </text>
    </comment>
    <comment ref="C66" authorId="0">
      <text>
        <r>
          <rPr>
            <b/>
            <sz val="8"/>
            <rFont val="Tahoma"/>
            <family val="0"/>
          </rPr>
          <t>Fraction Remembering the Message:</t>
        </r>
        <r>
          <rPr>
            <sz val="8"/>
            <rFont val="Tahoma"/>
            <family val="2"/>
          </rPr>
          <t xml:space="preserve">
Default is 1.0 assuming a targeted program for businesses</t>
        </r>
      </text>
    </comment>
    <comment ref="C117" authorId="0">
      <text>
        <r>
          <rPr>
            <b/>
            <sz val="8"/>
            <rFont val="Tahoma"/>
            <family val="0"/>
          </rPr>
          <t>Default Value is 0.4</t>
        </r>
      </text>
    </comment>
    <comment ref="C27" authorId="1">
      <text>
        <r>
          <rPr>
            <b/>
            <sz val="8"/>
            <rFont val="Tahoma"/>
            <family val="2"/>
          </rPr>
          <t>Fraction who Remember the Message:</t>
        </r>
        <r>
          <rPr>
            <sz val="8"/>
            <rFont val="Tahoma"/>
            <family val="0"/>
          </rPr>
          <t xml:space="preserve">
Calculated based on Media Type
Televsion = 0.4
Radio = 0.25
Newspaper = 0.3
Billboard = 0.13
Brochure = .08
Workshop = 0.07</t>
        </r>
      </text>
    </comment>
  </commentList>
</comments>
</file>

<file path=xl/comments6.xml><?xml version="1.0" encoding="utf-8"?>
<comments xmlns="http://schemas.openxmlformats.org/spreadsheetml/2006/main">
  <authors>
    <author>Deb Caraco</author>
    <author>r</author>
  </authors>
  <commentList>
    <comment ref="B79" authorId="0">
      <text>
        <r>
          <rPr>
            <b/>
            <sz val="8"/>
            <rFont val="Tahoma"/>
            <family val="0"/>
          </rPr>
          <t>Program Options 1 to 5 are described in Chapter 11 of the 
Guidance</t>
        </r>
      </text>
    </comment>
    <comment ref="C94" authorId="1">
      <text>
        <r>
          <rPr>
            <b/>
            <sz val="8"/>
            <rFont val="Tahoma"/>
            <family val="0"/>
          </rPr>
          <t>Fraction of new devlopemnt where small storms (e.g., 1-year and smaller) are controlled for channel protection.</t>
        </r>
      </text>
    </comment>
    <comment ref="B92" authorId="1">
      <text>
        <r>
          <rPr>
            <b/>
            <sz val="8"/>
            <rFont val="Tahoma"/>
            <family val="0"/>
          </rPr>
          <t>Removal of Net Load Above Pre-Developed Conditions</t>
        </r>
      </text>
    </comment>
  </commentList>
</comments>
</file>

<file path=xl/comments7.xml><?xml version="1.0" encoding="utf-8"?>
<comments xmlns="http://schemas.openxmlformats.org/spreadsheetml/2006/main">
  <authors>
    <author>Deb Caraco</author>
    <author>r</author>
  </authors>
  <commentList>
    <comment ref="D7" authorId="0">
      <text>
        <r>
          <rPr>
            <b/>
            <sz val="8"/>
            <rFont val="Tahoma"/>
            <family val="0"/>
          </rPr>
          <t>Awareness</t>
        </r>
      </text>
    </comment>
    <comment ref="E7" authorId="0">
      <text>
        <r>
          <rPr>
            <b/>
            <sz val="8"/>
            <rFont val="Tahoma"/>
            <family val="2"/>
          </rPr>
          <t>Interest</t>
        </r>
      </text>
    </comment>
    <comment ref="D8" authorId="0">
      <text>
        <r>
          <rPr>
            <b/>
            <sz val="8"/>
            <rFont val="Tahoma"/>
            <family val="0"/>
          </rPr>
          <t>Awareness</t>
        </r>
      </text>
    </comment>
    <comment ref="E8" authorId="0">
      <text>
        <r>
          <rPr>
            <b/>
            <sz val="8"/>
            <rFont val="Tahoma"/>
            <family val="0"/>
          </rPr>
          <t>Interest</t>
        </r>
      </text>
    </comment>
    <comment ref="D9" authorId="0">
      <text>
        <r>
          <rPr>
            <b/>
            <sz val="8"/>
            <rFont val="Tahoma"/>
            <family val="0"/>
          </rPr>
          <t xml:space="preserve">Compliance </t>
        </r>
      </text>
    </comment>
    <comment ref="E9" authorId="0">
      <text>
        <r>
          <rPr>
            <b/>
            <sz val="8"/>
            <rFont val="Tahoma"/>
            <family val="0"/>
          </rPr>
          <t>Installation/ Maintenance</t>
        </r>
      </text>
    </comment>
    <comment ref="D10" authorId="0">
      <text>
        <r>
          <rPr>
            <b/>
            <sz val="8"/>
            <rFont val="Tahoma"/>
            <family val="0"/>
          </rPr>
          <t>Frequency</t>
        </r>
      </text>
    </comment>
    <comment ref="B11" authorId="0">
      <text>
        <r>
          <rPr>
            <b/>
            <sz val="8"/>
            <rFont val="Tahoma"/>
            <family val="0"/>
          </rPr>
          <t>No Discounts are Required for Impervious Cover Disconnection from Existing Development</t>
        </r>
      </text>
    </comment>
    <comment ref="D13" authorId="0">
      <text>
        <r>
          <rPr>
            <b/>
            <sz val="8"/>
            <rFont val="Tahoma"/>
            <family val="0"/>
          </rPr>
          <t>Design</t>
        </r>
      </text>
    </comment>
    <comment ref="E13" authorId="0">
      <text>
        <r>
          <rPr>
            <b/>
            <sz val="8"/>
            <rFont val="Tahoma"/>
            <family val="0"/>
          </rPr>
          <t>Maintenance</t>
        </r>
      </text>
    </comment>
    <comment ref="D14" authorId="0">
      <text>
        <r>
          <rPr>
            <b/>
            <sz val="8"/>
            <rFont val="Tahoma"/>
            <family val="0"/>
          </rPr>
          <t>Frequency</t>
        </r>
      </text>
    </comment>
    <comment ref="D15" authorId="0">
      <text>
        <r>
          <rPr>
            <b/>
            <sz val="8"/>
            <rFont val="Tahoma"/>
            <family val="2"/>
          </rPr>
          <t>Participation</t>
        </r>
      </text>
    </comment>
    <comment ref="D12" authorId="0">
      <text>
        <r>
          <rPr>
            <b/>
            <sz val="8"/>
            <rFont val="Tahoma"/>
            <family val="0"/>
          </rPr>
          <t>Capture</t>
        </r>
      </text>
    </comment>
    <comment ref="E12" authorId="0">
      <text>
        <r>
          <rPr>
            <b/>
            <sz val="8"/>
            <rFont val="Tahoma"/>
            <family val="0"/>
          </rPr>
          <t>Design</t>
        </r>
      </text>
    </comment>
    <comment ref="F12" authorId="0">
      <text>
        <r>
          <rPr>
            <b/>
            <sz val="8"/>
            <rFont val="Tahoma"/>
            <family val="0"/>
          </rPr>
          <t>Maintenance</t>
        </r>
      </text>
    </comment>
    <comment ref="E14" authorId="1">
      <text>
        <r>
          <rPr>
            <b/>
            <sz val="8"/>
            <rFont val="Tahoma"/>
            <family val="0"/>
          </rPr>
          <t>Disposal</t>
        </r>
      </text>
    </comment>
    <comment ref="E10" authorId="1">
      <text>
        <r>
          <rPr>
            <b/>
            <sz val="8"/>
            <rFont val="Tahoma"/>
            <family val="0"/>
          </rPr>
          <t>Technique</t>
        </r>
      </text>
    </comment>
  </commentList>
</comments>
</file>

<file path=xl/comments8.xml><?xml version="1.0" encoding="utf-8"?>
<comments xmlns="http://schemas.openxmlformats.org/spreadsheetml/2006/main">
  <authors>
    <author>Deb Caraco</author>
    <author>r</author>
  </authors>
  <commentList>
    <comment ref="D7" authorId="0">
      <text>
        <r>
          <rPr>
            <b/>
            <sz val="8"/>
            <rFont val="Tahoma"/>
            <family val="0"/>
          </rPr>
          <t>Awareness</t>
        </r>
      </text>
    </comment>
    <comment ref="E7" authorId="0">
      <text>
        <r>
          <rPr>
            <b/>
            <sz val="8"/>
            <rFont val="Tahoma"/>
            <family val="2"/>
          </rPr>
          <t>Interest</t>
        </r>
      </text>
    </comment>
    <comment ref="D11" authorId="0">
      <text>
        <r>
          <rPr>
            <b/>
            <sz val="8"/>
            <rFont val="Tahoma"/>
            <family val="0"/>
          </rPr>
          <t>Awareness</t>
        </r>
      </text>
    </comment>
    <comment ref="E11" authorId="0">
      <text>
        <r>
          <rPr>
            <b/>
            <sz val="8"/>
            <rFont val="Tahoma"/>
            <family val="2"/>
          </rPr>
          <t>Interest</t>
        </r>
      </text>
    </comment>
    <comment ref="D12" authorId="0">
      <text>
        <r>
          <rPr>
            <b/>
            <sz val="8"/>
            <rFont val="Tahoma"/>
            <family val="0"/>
          </rPr>
          <t>Awareness</t>
        </r>
      </text>
    </comment>
    <comment ref="E12" authorId="0">
      <text>
        <r>
          <rPr>
            <b/>
            <sz val="8"/>
            <rFont val="Tahoma"/>
            <family val="2"/>
          </rPr>
          <t>Interest</t>
        </r>
      </text>
    </comment>
    <comment ref="D13" authorId="0">
      <text>
        <r>
          <rPr>
            <b/>
            <sz val="8"/>
            <rFont val="Tahoma"/>
            <family val="0"/>
          </rPr>
          <t>Capture</t>
        </r>
      </text>
    </comment>
    <comment ref="E13" authorId="0">
      <text>
        <r>
          <rPr>
            <b/>
            <sz val="8"/>
            <rFont val="Tahoma"/>
            <family val="0"/>
          </rPr>
          <t>Design</t>
        </r>
      </text>
    </comment>
    <comment ref="F13" authorId="0">
      <text>
        <r>
          <rPr>
            <b/>
            <sz val="8"/>
            <rFont val="Tahoma"/>
            <family val="0"/>
          </rPr>
          <t>Maintenance</t>
        </r>
      </text>
    </comment>
    <comment ref="D16" authorId="0">
      <text>
        <r>
          <rPr>
            <b/>
            <sz val="8"/>
            <rFont val="Tahoma"/>
            <family val="2"/>
          </rPr>
          <t>Participation</t>
        </r>
      </text>
    </comment>
    <comment ref="D17" authorId="0">
      <text>
        <r>
          <rPr>
            <b/>
            <sz val="8"/>
            <rFont val="Tahoma"/>
            <family val="0"/>
          </rPr>
          <t>Awareness</t>
        </r>
      </text>
    </comment>
    <comment ref="E17" authorId="0">
      <text>
        <r>
          <rPr>
            <b/>
            <sz val="8"/>
            <rFont val="Tahoma"/>
            <family val="2"/>
          </rPr>
          <t>Interest</t>
        </r>
      </text>
    </comment>
    <comment ref="D20" authorId="0">
      <text>
        <r>
          <rPr>
            <b/>
            <sz val="8"/>
            <rFont val="Tahoma"/>
            <family val="0"/>
          </rPr>
          <t>Capture</t>
        </r>
      </text>
    </comment>
    <comment ref="E20" authorId="0">
      <text>
        <r>
          <rPr>
            <b/>
            <sz val="8"/>
            <rFont val="Tahoma"/>
            <family val="0"/>
          </rPr>
          <t>Design</t>
        </r>
      </text>
    </comment>
    <comment ref="F20" authorId="0">
      <text>
        <r>
          <rPr>
            <b/>
            <sz val="8"/>
            <rFont val="Tahoma"/>
            <family val="0"/>
          </rPr>
          <t>Maintenance</t>
        </r>
      </text>
    </comment>
    <comment ref="D24" authorId="1">
      <text>
        <r>
          <rPr>
            <b/>
            <sz val="8"/>
            <rFont val="Tahoma"/>
            <family val="0"/>
          </rPr>
          <t>Survey</t>
        </r>
      </text>
    </comment>
    <comment ref="D25" authorId="1">
      <text>
        <r>
          <rPr>
            <b/>
            <sz val="8"/>
            <rFont val="Tahoma"/>
            <family val="0"/>
          </rPr>
          <t>Survey</t>
        </r>
      </text>
    </comment>
    <comment ref="D8" authorId="0">
      <text>
        <r>
          <rPr>
            <b/>
            <sz val="8"/>
            <rFont val="Tahoma"/>
            <family val="0"/>
          </rPr>
          <t>Awareness</t>
        </r>
      </text>
    </comment>
    <comment ref="E8" authorId="0">
      <text>
        <r>
          <rPr>
            <b/>
            <sz val="8"/>
            <rFont val="Tahoma"/>
            <family val="0"/>
          </rPr>
          <t>Interest</t>
        </r>
      </text>
    </comment>
    <comment ref="D9" authorId="0">
      <text>
        <r>
          <rPr>
            <b/>
            <sz val="8"/>
            <rFont val="Tahoma"/>
            <family val="0"/>
          </rPr>
          <t>Compliance</t>
        </r>
      </text>
    </comment>
    <comment ref="E9" authorId="0">
      <text>
        <r>
          <rPr>
            <b/>
            <sz val="8"/>
            <rFont val="Tahoma"/>
            <family val="0"/>
          </rPr>
          <t>Installation/ Maintenance</t>
        </r>
      </text>
    </comment>
    <comment ref="D10" authorId="0">
      <text>
        <r>
          <rPr>
            <b/>
            <sz val="8"/>
            <rFont val="Tahoma"/>
            <family val="0"/>
          </rPr>
          <t>Frequency</t>
        </r>
      </text>
    </comment>
    <comment ref="E10" authorId="0">
      <text>
        <r>
          <rPr>
            <b/>
            <sz val="8"/>
            <rFont val="Tahoma"/>
            <family val="0"/>
          </rPr>
          <t>Technique</t>
        </r>
      </text>
    </comment>
    <comment ref="D14" authorId="0">
      <text>
        <r>
          <rPr>
            <b/>
            <sz val="8"/>
            <rFont val="Tahoma"/>
            <family val="0"/>
          </rPr>
          <t>Design</t>
        </r>
      </text>
    </comment>
    <comment ref="E14" authorId="0">
      <text>
        <r>
          <rPr>
            <b/>
            <sz val="8"/>
            <rFont val="Tahoma"/>
            <family val="0"/>
          </rPr>
          <t>Maintenance</t>
        </r>
      </text>
    </comment>
    <comment ref="D15" authorId="0">
      <text>
        <r>
          <rPr>
            <b/>
            <sz val="8"/>
            <rFont val="Tahoma"/>
            <family val="0"/>
          </rPr>
          <t>Frequency</t>
        </r>
      </text>
    </comment>
    <comment ref="E15" authorId="0">
      <text>
        <r>
          <rPr>
            <b/>
            <sz val="8"/>
            <rFont val="Tahoma"/>
            <family val="0"/>
          </rPr>
          <t>Disposal</t>
        </r>
      </text>
    </comment>
    <comment ref="D18" authorId="0">
      <text>
        <r>
          <rPr>
            <b/>
            <sz val="8"/>
            <rFont val="Tahoma"/>
            <family val="0"/>
          </rPr>
          <t>Implementation</t>
        </r>
      </text>
    </comment>
    <comment ref="D19" authorId="0">
      <text>
        <r>
          <rPr>
            <b/>
            <sz val="8"/>
            <rFont val="Tahoma"/>
            <family val="0"/>
          </rPr>
          <t>Implementation</t>
        </r>
      </text>
    </comment>
    <comment ref="D21" authorId="0">
      <text>
        <r>
          <rPr>
            <b/>
            <sz val="8"/>
            <rFont val="Tahoma"/>
            <family val="0"/>
          </rPr>
          <t>Survey</t>
        </r>
      </text>
    </comment>
    <comment ref="E21" authorId="0">
      <text>
        <r>
          <rPr>
            <b/>
            <sz val="8"/>
            <rFont val="Tahoma"/>
            <family val="0"/>
          </rPr>
          <t>Implementation</t>
        </r>
      </text>
    </comment>
    <comment ref="D22" authorId="0">
      <text>
        <r>
          <rPr>
            <b/>
            <sz val="8"/>
            <rFont val="Tahoma"/>
            <family val="0"/>
          </rPr>
          <t>Implementation</t>
        </r>
      </text>
    </comment>
    <comment ref="D23" authorId="0">
      <text>
        <r>
          <rPr>
            <b/>
            <sz val="8"/>
            <rFont val="Tahoma"/>
            <family val="0"/>
          </rPr>
          <t>Implementation</t>
        </r>
      </text>
    </comment>
    <comment ref="E24" authorId="0">
      <text>
        <r>
          <rPr>
            <b/>
            <sz val="8"/>
            <rFont val="Tahoma"/>
            <family val="0"/>
          </rPr>
          <t>Participation</t>
        </r>
      </text>
    </comment>
    <comment ref="E25" authorId="0">
      <text>
        <r>
          <rPr>
            <b/>
            <sz val="8"/>
            <rFont val="Tahoma"/>
            <family val="0"/>
          </rPr>
          <t>Participation</t>
        </r>
      </text>
    </comment>
    <comment ref="D26" authorId="0">
      <text>
        <r>
          <rPr>
            <b/>
            <sz val="8"/>
            <rFont val="Tahoma"/>
            <family val="0"/>
          </rPr>
          <t>Flow Control</t>
        </r>
      </text>
    </comment>
  </commentList>
</comments>
</file>

<file path=xl/sharedStrings.xml><?xml version="1.0" encoding="utf-8"?>
<sst xmlns="http://schemas.openxmlformats.org/spreadsheetml/2006/main" count="958" uniqueCount="402">
  <si>
    <t>Land Use</t>
  </si>
  <si>
    <t>Impervious Cover</t>
  </si>
  <si>
    <t>mg/l</t>
  </si>
  <si>
    <t>%</t>
  </si>
  <si>
    <t>TN</t>
  </si>
  <si>
    <t>TP</t>
  </si>
  <si>
    <t>TSS</t>
  </si>
  <si>
    <t>Concentrations</t>
  </si>
  <si>
    <t>FC</t>
  </si>
  <si>
    <t>MPN/100 ml</t>
  </si>
  <si>
    <t>Annual Loading Rates</t>
  </si>
  <si>
    <t>lb/acre</t>
  </si>
  <si>
    <t>Residential</t>
  </si>
  <si>
    <t>Commercial</t>
  </si>
  <si>
    <t>Roadway</t>
  </si>
  <si>
    <t>Industrial</t>
  </si>
  <si>
    <t>Forest</t>
  </si>
  <si>
    <t>Rural</t>
  </si>
  <si>
    <t>Open Water</t>
  </si>
  <si>
    <t>LDR (&lt;1du/acre)</t>
  </si>
  <si>
    <t>MDR (1-4 du/acre)</t>
  </si>
  <si>
    <t>HDR (&gt;4 du/acre)</t>
  </si>
  <si>
    <t># billion/acre</t>
  </si>
  <si>
    <t>berths</t>
  </si>
  <si>
    <t>SECONDARY SOURCES</t>
  </si>
  <si>
    <t xml:space="preserve">Area </t>
  </si>
  <si>
    <t>(Acres)</t>
  </si>
  <si>
    <t>Wastewater Characteristics</t>
  </si>
  <si>
    <t>TN (mg/l)</t>
  </si>
  <si>
    <t>TP (mg/l)</t>
  </si>
  <si>
    <t>TSS (mg/l)</t>
  </si>
  <si>
    <t>FC (MPN/100 ml)</t>
  </si>
  <si>
    <t>General Sewage Use Data</t>
  </si>
  <si>
    <t>Dwelling Units</t>
  </si>
  <si>
    <t>Indiduals/Dwelling Unit</t>
  </si>
  <si>
    <t>Water Use (gpcd)</t>
  </si>
  <si>
    <t>Septic Systems</t>
  </si>
  <si>
    <t>Fraction of Septics Failing</t>
  </si>
  <si>
    <t>Characteristics of Effluent from Working Septics</t>
  </si>
  <si>
    <t>Active Construction</t>
  </si>
  <si>
    <t>Runoff Coefficient for Cleared Land</t>
  </si>
  <si>
    <t>SSOs</t>
  </si>
  <si>
    <t>Miles of Sanitary Sewer</t>
  </si>
  <si>
    <t>Overflows/1,000 Miles of Sewer</t>
  </si>
  <si>
    <t>CSOs</t>
  </si>
  <si>
    <t># of CSOs/year</t>
  </si>
  <si>
    <t>Capacity of CS system (rainfall depth in inches)</t>
  </si>
  <si>
    <t>Median Storm Event (inches)</t>
  </si>
  <si>
    <t>Illicit Connections</t>
  </si>
  <si>
    <t>Fraction of WS Population Illicitly Connected</t>
  </si>
  <si>
    <t># of Illicit Connections</t>
  </si>
  <si>
    <t>Channel Erosion</t>
  </si>
  <si>
    <t>TSS from Construction Sites (mgl)</t>
  </si>
  <si>
    <t>Lawns (Subsurface Flow)</t>
  </si>
  <si>
    <t>Lawn (acres)</t>
  </si>
  <si>
    <t>Hobby Farms/Livestock</t>
  </si>
  <si>
    <t>Pigs</t>
  </si>
  <si>
    <t>Animals (#)</t>
  </si>
  <si>
    <t>N (lbs/animal/year)</t>
  </si>
  <si>
    <t>P (lbs/animal/year)</t>
  </si>
  <si>
    <t>Marinas</t>
  </si>
  <si>
    <t>season length (days)</t>
  </si>
  <si>
    <t>typical occupancy (fraction of season)</t>
  </si>
  <si>
    <t>flow rates (gpcd)</t>
  </si>
  <si>
    <t>individuals per boat</t>
  </si>
  <si>
    <t>Road Sanding</t>
  </si>
  <si>
    <t>Sand Application (lbs/year)</t>
  </si>
  <si>
    <t>Fraction of Roads that are Open Section</t>
  </si>
  <si>
    <t>Delivery ratio for Closed Section Roads</t>
  </si>
  <si>
    <t>Delivery ratio for Open Section Roads</t>
  </si>
  <si>
    <t>Non-Stormwater Point Sources</t>
  </si>
  <si>
    <t>Point Source 1</t>
  </si>
  <si>
    <t>Point Source 2</t>
  </si>
  <si>
    <t>Point Source 3</t>
  </si>
  <si>
    <t>Point Source 4</t>
  </si>
  <si>
    <t>Point Source 5</t>
  </si>
  <si>
    <t>Point Source 6</t>
  </si>
  <si>
    <t>Point Source 7</t>
  </si>
  <si>
    <t>Point Source 8</t>
  </si>
  <si>
    <t>Point Source 9</t>
  </si>
  <si>
    <t>Point Source 10</t>
  </si>
  <si>
    <t>N Load (lbs/year)</t>
  </si>
  <si>
    <t>P Load (lbs/year)</t>
  </si>
  <si>
    <t>TSS Load (lbs/year)</t>
  </si>
  <si>
    <t xml:space="preserve">Street Sweeping </t>
  </si>
  <si>
    <t>Impervious Cover Disconnection</t>
  </si>
  <si>
    <t>Riparian Buffers</t>
  </si>
  <si>
    <t>Annual Load</t>
  </si>
  <si>
    <t>lb/year</t>
  </si>
  <si>
    <t># billion/year</t>
  </si>
  <si>
    <t>Annual Rainfall (inches)</t>
  </si>
  <si>
    <t>Unsewered Dwelling Units(#)</t>
  </si>
  <si>
    <t>Characteristics of CSOs</t>
  </si>
  <si>
    <t>N in Leachate (mg/l)</t>
  </si>
  <si>
    <t>A-Soils</t>
  </si>
  <si>
    <t>B-Soils</t>
  </si>
  <si>
    <t>C-Soils</t>
  </si>
  <si>
    <t>D-Soils</t>
  </si>
  <si>
    <t>Delivery Ratios</t>
  </si>
  <si>
    <t>Total Annual Loads</t>
  </si>
  <si>
    <t>Bacteria Load (Billion/year)</t>
  </si>
  <si>
    <t>Bacteria Load (billion/year)</t>
  </si>
  <si>
    <t>Sewershed Area (acres)</t>
  </si>
  <si>
    <t>Sewershed Impervious  Cover (%)</t>
  </si>
  <si>
    <t>Lawn Care Education</t>
  </si>
  <si>
    <t>Pet Waste Education</t>
  </si>
  <si>
    <t>Program? (Y/N)</t>
  </si>
  <si>
    <t>Lawn Area (acres)</t>
  </si>
  <si>
    <t>Fertilizer Reduction (Fraction)</t>
  </si>
  <si>
    <t>Fraction of Households with a Dog</t>
  </si>
  <si>
    <t>Waste Production (lbs/dog-day)</t>
  </si>
  <si>
    <t>N Concentration (lb/lb)</t>
  </si>
  <si>
    <t>P Concentration (lb/lb)</t>
  </si>
  <si>
    <t>Bacteria Delivery Factor</t>
  </si>
  <si>
    <t>Erosion and Sediment Control</t>
  </si>
  <si>
    <t>Fraction of Building Permits Regulated</t>
  </si>
  <si>
    <t>Sweeper Type</t>
  </si>
  <si>
    <t>Other Streets</t>
  </si>
  <si>
    <t>Efficiencies - Residential</t>
  </si>
  <si>
    <t>Nutrients</t>
  </si>
  <si>
    <t>Efficiencies - Other roads</t>
  </si>
  <si>
    <t>Mechanical</t>
  </si>
  <si>
    <t>Regenerative Air</t>
  </si>
  <si>
    <t>Vacuum Assisted</t>
  </si>
  <si>
    <t>Total Street Area (acres)</t>
  </si>
  <si>
    <t>Total Homes Disconnected</t>
  </si>
  <si>
    <t>Typical Roof Footprint (square feet)</t>
  </si>
  <si>
    <t>Structural Stormwater Management Practices</t>
  </si>
  <si>
    <t>BMP Type</t>
  </si>
  <si>
    <t xml:space="preserve"> Efficiency</t>
  </si>
  <si>
    <t>Bacteria</t>
  </si>
  <si>
    <t>Dry Water Quantity Pond</t>
  </si>
  <si>
    <t>Dry Extended Detention Pond</t>
  </si>
  <si>
    <t>Wet Pond</t>
  </si>
  <si>
    <t>Wetland</t>
  </si>
  <si>
    <t>WQ Swale</t>
  </si>
  <si>
    <t>Filters</t>
  </si>
  <si>
    <t>Infiltration</t>
  </si>
  <si>
    <t>Total</t>
  </si>
  <si>
    <t>Catch Basin Cleanouts</t>
  </si>
  <si>
    <t>Monthly Cleaning</t>
  </si>
  <si>
    <t>Semi-Annual Cleaning</t>
  </si>
  <si>
    <t>Marina Pumpouts</t>
  </si>
  <si>
    <t>Number of Pumpouts</t>
  </si>
  <si>
    <t>Boats Served Per Station</t>
  </si>
  <si>
    <t>D1</t>
  </si>
  <si>
    <t>D2</t>
  </si>
  <si>
    <t>D3</t>
  </si>
  <si>
    <t>Fertilizers (fraction)</t>
  </si>
  <si>
    <t>"Overfertilizers" (fraction of fertilizers)</t>
  </si>
  <si>
    <t>Owners who Clean Up (fraction)</t>
  </si>
  <si>
    <t>Watershed Area (acres)</t>
  </si>
  <si>
    <t>Sweeping Frequency (M=monthly, W = Weekly)</t>
  </si>
  <si>
    <t xml:space="preserve">Impervious Area Captured </t>
  </si>
  <si>
    <t>Bacteria(billion/year)</t>
  </si>
  <si>
    <t>TSS (lbs/year)</t>
  </si>
  <si>
    <t>P (lbs/year)</t>
  </si>
  <si>
    <t>N (lbs/year)</t>
  </si>
  <si>
    <t>Impervious Area Captured</t>
  </si>
  <si>
    <t>"Discounted" Load Reductions</t>
  </si>
  <si>
    <t>Total Reduction</t>
  </si>
  <si>
    <t>Total Secondary Load</t>
  </si>
  <si>
    <t>Land Reclamation</t>
  </si>
  <si>
    <t>Impervious Cover Reduction</t>
  </si>
  <si>
    <t>Illicit Connection Removal</t>
  </si>
  <si>
    <t>CSO Repair/ Abatement</t>
  </si>
  <si>
    <t>SSO Repair/ Abatement</t>
  </si>
  <si>
    <t>Stormwater Retrofits</t>
  </si>
  <si>
    <t>Septic System Repair</t>
  </si>
  <si>
    <t>Septic System Upgrade</t>
  </si>
  <si>
    <t>Septic System Education</t>
  </si>
  <si>
    <t>Land to Be Redeveloped (Acres)</t>
  </si>
  <si>
    <t>Average Impervious Cover Reduction (%)</t>
  </si>
  <si>
    <t>Channel Protection</t>
  </si>
  <si>
    <t>Miles of Stream Channel Stabilized</t>
  </si>
  <si>
    <t>Stream Length (miles)</t>
  </si>
  <si>
    <t>Total Load Reduction</t>
  </si>
  <si>
    <t>Miles of Unstable Channel</t>
  </si>
  <si>
    <t xml:space="preserve">Stormwater Retrofits </t>
  </si>
  <si>
    <t xml:space="preserve">Septic System Inspection/Repair </t>
  </si>
  <si>
    <t xml:space="preserve">Septic System Upgrade </t>
  </si>
  <si>
    <t>Fraction of Retrofits</t>
  </si>
  <si>
    <t>Area Surveyed (acres)</t>
  </si>
  <si>
    <t>Program? (y/n)</t>
  </si>
  <si>
    <t>N</t>
  </si>
  <si>
    <t>P</t>
  </si>
  <si>
    <t>Efficiency of Improved Systems(%)</t>
  </si>
  <si>
    <t>CSO Events after Repairs (#)</t>
  </si>
  <si>
    <t>Efficiency of Working Existing Systems(%)</t>
  </si>
  <si>
    <t>"Aggregate" efficiency of all current systems</t>
  </si>
  <si>
    <t>Fraction of area "treatable"</t>
  </si>
  <si>
    <t>Impervious Cover in Surveyed Area</t>
  </si>
  <si>
    <t>Fraction of System Surveyed</t>
  </si>
  <si>
    <t>Septic System Education/ Repair</t>
  </si>
  <si>
    <t>Additional Develoment</t>
  </si>
  <si>
    <t>Lost Land (Acres)</t>
  </si>
  <si>
    <t>Additional Uncontrolled Annual Load</t>
  </si>
  <si>
    <t>PRIMARY SOURCES - Land Use</t>
  </si>
  <si>
    <t>(acres)</t>
  </si>
  <si>
    <t>Watershed Data</t>
  </si>
  <si>
    <t>Important Note</t>
  </si>
  <si>
    <t>"Discounted" Load Reductions for Future Management Practices</t>
  </si>
  <si>
    <t>New Development</t>
  </si>
  <si>
    <t>Green cells need to be completed by the user</t>
  </si>
  <si>
    <t>Blue cells have default or calculated values but may be substituted</t>
  </si>
  <si>
    <t>Grey cells should generally not be changed</t>
  </si>
  <si>
    <t>Controls on New Development</t>
  </si>
  <si>
    <t>Discount Factors</t>
  </si>
  <si>
    <t>Infiltration Rate (fraction of rainfall)</t>
  </si>
  <si>
    <t>Septic System Efficiency</t>
  </si>
  <si>
    <t>Septic Failure Rate</t>
  </si>
  <si>
    <t>Septic Load</t>
  </si>
  <si>
    <t>Construction Load</t>
  </si>
  <si>
    <t>Acres of Lawn</t>
  </si>
  <si>
    <t>Load from Lawns</t>
  </si>
  <si>
    <t>Load from Road Sanding</t>
  </si>
  <si>
    <t>Acres of New Roads</t>
  </si>
  <si>
    <t>Fraction Open Section</t>
  </si>
  <si>
    <t>Fraction Swept</t>
  </si>
  <si>
    <t>Street Sweeping - Road Sanding</t>
  </si>
  <si>
    <t>Street Sweeping - Sanding</t>
  </si>
  <si>
    <t>Practice</t>
  </si>
  <si>
    <t>Fraction of Practices</t>
  </si>
  <si>
    <t>Average Undiscounted Removal Rate</t>
  </si>
  <si>
    <t>Program Option</t>
  </si>
  <si>
    <t>Fraction of New Development Regulated</t>
  </si>
  <si>
    <t>Load Controlled</t>
  </si>
  <si>
    <t>Net Additional Load</t>
  </si>
  <si>
    <t>Flow (MGD)</t>
  </si>
  <si>
    <t>N Concentration (mg/l)</t>
  </si>
  <si>
    <t>P Concentration (mg/l)</t>
  </si>
  <si>
    <t>TSS Concentration (mg/l)</t>
  </si>
  <si>
    <t>Bacteria Concetnration (#/100ml)</t>
  </si>
  <si>
    <t>NPDES Dischargers</t>
  </si>
  <si>
    <t>Bacteria Concentration(billion/lb)</t>
  </si>
  <si>
    <t>Bank Erosion Rate (tons/mi/year)</t>
  </si>
  <si>
    <t xml:space="preserve">                                                                 </t>
  </si>
  <si>
    <t>Impervious Cover Disconnection - Residential</t>
  </si>
  <si>
    <t>Impervious Cover Disconnection - Commercial</t>
  </si>
  <si>
    <t>Total Disconnected Impervious Cover (Acres)</t>
  </si>
  <si>
    <t>Impervious Cover Disconnection-Residential</t>
  </si>
  <si>
    <t>Impervious Cover Disconnection-Commercial</t>
  </si>
  <si>
    <t>Number of Retrofits Built Per Year</t>
  </si>
  <si>
    <t>Typical Retrofit Drainage (acres)</t>
  </si>
  <si>
    <t>Total Annual Sediment Load (Tons/Year)</t>
  </si>
  <si>
    <t>Volume per Overflow (gallons)</t>
  </si>
  <si>
    <t>Pollutant</t>
  </si>
  <si>
    <t>Fraction as Storm Load</t>
  </si>
  <si>
    <t>Fraction of Load as Storm Flow</t>
  </si>
  <si>
    <t>Annual Sediment Loading Rate (Tons/Acre/Year)</t>
  </si>
  <si>
    <t xml:space="preserve">Compaction Factor </t>
  </si>
  <si>
    <t>Capture Discount (D2)</t>
  </si>
  <si>
    <t>Design Discount (D3)</t>
  </si>
  <si>
    <t>Maintenance Disount (D4)</t>
  </si>
  <si>
    <t>Treatability Discount (D1)</t>
  </si>
  <si>
    <t>Fraction willing to change behavior</t>
  </si>
  <si>
    <t>Technique Discount</t>
  </si>
  <si>
    <t>Disposal Discount</t>
  </si>
  <si>
    <t>Fraction of Owners Willing to Use</t>
  </si>
  <si>
    <t>Compliance Discount</t>
  </si>
  <si>
    <t>Installation/ Maintenance Discount</t>
  </si>
  <si>
    <t>Fraction Inspected</t>
  </si>
  <si>
    <t>Fraction Willing to Repair</t>
  </si>
  <si>
    <t>Fraction Willing to Upgrade</t>
  </si>
  <si>
    <t>Goal (% Reduction)</t>
  </si>
  <si>
    <t>"Natural" Bank Erosion Rate (tons/mi/year)</t>
  </si>
  <si>
    <t>Partitioning Coefficients for Rural and Forest Land</t>
  </si>
  <si>
    <t>Fraction of Businesses with Illicit Connections</t>
  </si>
  <si>
    <t>Fraction of Businness Connections that are Wash Water  Only</t>
  </si>
  <si>
    <t>Number of Businesses</t>
  </si>
  <si>
    <t>Wash Water Concentrations</t>
  </si>
  <si>
    <t>Total Flow Concentrations</t>
  </si>
  <si>
    <t>Parking Lots Swept</t>
  </si>
  <si>
    <t>.</t>
  </si>
  <si>
    <t>Buffer Length (Miles)</t>
  </si>
  <si>
    <t>Program Efficiency</t>
  </si>
  <si>
    <t>Characteristics of Effluent from Failing Septics</t>
  </si>
  <si>
    <t>Wash Water Flow (gpd)</t>
  </si>
  <si>
    <t>Total Flow/business (gpd)</t>
  </si>
  <si>
    <t>Awareness of Message (Fraction of Population)</t>
  </si>
  <si>
    <t>Program Discounts</t>
  </si>
  <si>
    <t>Nitrogen</t>
  </si>
  <si>
    <t>Phosphorous</t>
  </si>
  <si>
    <t>Nutrient Characteristics</t>
  </si>
  <si>
    <t>Typical Application Rates (lb/acre-year)</t>
  </si>
  <si>
    <t>Fraction "Lost" to the Environment</t>
  </si>
  <si>
    <t>Fraction of Above Lost as Surface Runoff</t>
  </si>
  <si>
    <t>A Soils</t>
  </si>
  <si>
    <t>B Soils</t>
  </si>
  <si>
    <t>C Soils</t>
  </si>
  <si>
    <t>D Soils</t>
  </si>
  <si>
    <t>Waste Characteristics</t>
  </si>
  <si>
    <t>Owners who Walk their Dogs (fraction)</t>
  </si>
  <si>
    <t>Streets Swept  (Acres)</t>
  </si>
  <si>
    <t>Treatability</t>
  </si>
  <si>
    <t>Design</t>
  </si>
  <si>
    <t>Maintenance</t>
  </si>
  <si>
    <t>Buffer Width (ft)</t>
  </si>
  <si>
    <t>Fraction of Residential Land where Applicable</t>
  </si>
  <si>
    <t>Fraction of Population Reached</t>
  </si>
  <si>
    <t>Fraction Willing to Participate</t>
  </si>
  <si>
    <t>Fraction of Commercial Imperviousness as Rooftop</t>
  </si>
  <si>
    <t>Fraction of Land where Applicable</t>
  </si>
  <si>
    <t>Weighted Fraction</t>
  </si>
  <si>
    <t>Load from Channel Erosion</t>
  </si>
  <si>
    <t>New Subwatershed Impervious Cover(%)</t>
  </si>
  <si>
    <t>Fraction of Development w/ Flow Control</t>
  </si>
  <si>
    <t>Bacteria (billions/animal/year)</t>
  </si>
  <si>
    <t>N Delivery Factor</t>
  </si>
  <si>
    <t>P Delivery Factor</t>
  </si>
  <si>
    <t>P in Leachate (mg/L)</t>
  </si>
  <si>
    <t>Vacant Lots</t>
  </si>
  <si>
    <t>TN (lb/acre)</t>
  </si>
  <si>
    <t>TP (lb/acre)</t>
  </si>
  <si>
    <t>TSS (lb/acre)</t>
  </si>
  <si>
    <t>FC (# billion/acre)</t>
  </si>
  <si>
    <t>Acres Converted</t>
  </si>
  <si>
    <t>Acres Created</t>
  </si>
  <si>
    <t>lb/acre/year</t>
  </si>
  <si>
    <t># billion/acre/year</t>
  </si>
  <si>
    <t>Stormflow</t>
  </si>
  <si>
    <t>Nonstorm Flow</t>
  </si>
  <si>
    <t>Wastewater Load</t>
  </si>
  <si>
    <t>Point Source Reduction</t>
  </si>
  <si>
    <t>N Reduction (lbs/year)</t>
  </si>
  <si>
    <t>P Reduction (lbs/year)</t>
  </si>
  <si>
    <t>TSS Reduction (lbs/year)</t>
  </si>
  <si>
    <t>Bacteria Reduction (Billion/year)</t>
  </si>
  <si>
    <t>Dry Facilities</t>
  </si>
  <si>
    <t>URBAN SOURCES</t>
  </si>
  <si>
    <t>Urban Land</t>
  </si>
  <si>
    <t>RURAL SOURCES</t>
  </si>
  <si>
    <t>TOTAL LOAD</t>
  </si>
  <si>
    <t>Rural Land</t>
  </si>
  <si>
    <t>Multifamily</t>
  </si>
  <si>
    <t>Plant Efficiency</t>
  </si>
  <si>
    <t>Storm Load</t>
  </si>
  <si>
    <t>Non-Storm Load</t>
  </si>
  <si>
    <t>Fecal Coliform</t>
  </si>
  <si>
    <t>billion/year</t>
  </si>
  <si>
    <t>Program Option (1-5) (See documentation)</t>
  </si>
  <si>
    <t>Total Watershed Area (Should be same as total)</t>
  </si>
  <si>
    <t>Loads with Future Practices</t>
  </si>
  <si>
    <t>Loads Including Growth</t>
  </si>
  <si>
    <t>Acres of Active Construction (Provide on "Primary Sources")</t>
  </si>
  <si>
    <t>Area (acres) (Provide on "Primary Sources")</t>
  </si>
  <si>
    <t>New Septic Customers (Households)</t>
  </si>
  <si>
    <t>New Wastewater Customers (Households)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</si>
  <si>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</si>
  <si>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</t>
  </si>
  <si>
    <t>Capture Discount (D1)</t>
  </si>
  <si>
    <t>Design Discount (D2)</t>
  </si>
  <si>
    <t>Maintenance Disount (D3)</t>
  </si>
  <si>
    <t>T</t>
  </si>
  <si>
    <t>Active Construction (net increase)</t>
  </si>
  <si>
    <t>Target Removal (3-5)</t>
  </si>
  <si>
    <t>Planning Horizon (years)</t>
  </si>
  <si>
    <t>Fraction Implemented</t>
  </si>
  <si>
    <t>Fraction of Repairs Made</t>
  </si>
  <si>
    <t>Fraction Complete</t>
  </si>
  <si>
    <t>Discounts and Treatability - Future Practices</t>
  </si>
  <si>
    <t>Discounts and Treatability- Existing Practices</t>
  </si>
  <si>
    <t>"Undiscounted" Load Reductions - Do Not Account for Discount Factors or Treatability</t>
  </si>
  <si>
    <t>Load Reduction from Existing Practices - Including Discounts (lbs/year)</t>
  </si>
  <si>
    <t>Net Benefit of Future Practices - Beyond Practices Currently In Place</t>
  </si>
  <si>
    <t>Purple Cells Reflect "Bottom Line" Loads or Load Reductions</t>
  </si>
  <si>
    <t>Future Land Use</t>
  </si>
  <si>
    <t>Method (1 or 2)</t>
  </si>
  <si>
    <t>Method 1</t>
  </si>
  <si>
    <t>Method 2</t>
  </si>
  <si>
    <t>Average Pre-Developed Channel Area (sf)</t>
  </si>
  <si>
    <t>Time for Channel to Expand (years)</t>
  </si>
  <si>
    <t>Nutrients in Urban Soils</t>
  </si>
  <si>
    <t>Enrichment Factor</t>
  </si>
  <si>
    <t>Soil P(%)</t>
  </si>
  <si>
    <t>Soil TN (%)</t>
  </si>
  <si>
    <t>Livestock</t>
  </si>
  <si>
    <t>Point Sources</t>
  </si>
  <si>
    <t>Load Reduction</t>
  </si>
  <si>
    <t>Layers</t>
  </si>
  <si>
    <t>Dairy Cattle</t>
  </si>
  <si>
    <t>Broilers</t>
  </si>
  <si>
    <t>% Exposed to Runoff</t>
  </si>
  <si>
    <t>Turkeys</t>
  </si>
  <si>
    <t>billions/year</t>
  </si>
  <si>
    <t>N load</t>
  </si>
  <si>
    <t>P Load</t>
  </si>
  <si>
    <t>Bacteria Load</t>
  </si>
  <si>
    <t>Unsewered Dwelling Units(% of total)</t>
  </si>
  <si>
    <t>Portion of Businesses Disconnected (%)</t>
  </si>
  <si>
    <t>Portion of Total Stream Channel Unstable</t>
  </si>
  <si>
    <t>Flow control for small storms (%)</t>
  </si>
  <si>
    <t>TOTAL</t>
  </si>
  <si>
    <t>Existing Loads</t>
  </si>
  <si>
    <t>Existing</t>
  </si>
  <si>
    <t>With Future Practices</t>
  </si>
  <si>
    <t>With Growth</t>
  </si>
  <si>
    <t>Storm</t>
  </si>
  <si>
    <t>Non-Storm</t>
  </si>
  <si>
    <t>Summary of All Loads</t>
  </si>
  <si>
    <t>Soil Density (lb/cf)</t>
  </si>
  <si>
    <t>Portion of Homes Disconnected (%)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</si>
</sst>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_(* #,##0.0_);_(* \(#,##0.0\);_(* &quot;-&quot;?_);_(@_)"/>
    <numFmt numFmtId="183" formatCode="0.00000000%"/>
    <numFmt numFmtId="184" formatCode="0.000000000"/>
    <numFmt numFmtId="185" formatCode="0.0%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_(* #,##0.0000000_);_(* \(#,##0.0000000\);_(* &quot;-&quot;??_);_(@_)"/>
    <numFmt numFmtId="191" formatCode="_(* #,##0.00000000_);_(* \(#,##0.00000000\);_(* &quot;-&quot;??_);_(@_)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lightGray"/>
    </fill>
    <fill>
      <patternFill patternType="lightGray"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8"/>
        <bgColor indexed="64"/>
      </patternFill>
    </fill>
  </fills>
  <borders count="17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ck"/>
      <right style="medium"/>
      <top style="thin"/>
      <bottom style="thick"/>
    </border>
    <border>
      <left style="medium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ck"/>
      <top style="medium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 style="thin"/>
    </border>
    <border>
      <left style="thin"/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ck"/>
      <top style="medium"/>
      <bottom style="thin"/>
    </border>
    <border>
      <left style="thick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medium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4" fontId="1" fillId="0" borderId="0" xfId="0" applyNumberFormat="1" applyFont="1" applyBorder="1" applyAlignment="1">
      <alignment horizontal="center"/>
    </xf>
    <xf numFmtId="9" fontId="1" fillId="0" borderId="0" xfId="2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right"/>
    </xf>
    <xf numFmtId="173" fontId="0" fillId="3" borderId="22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" fillId="0" borderId="24" xfId="0" applyFont="1" applyBorder="1" applyAlignment="1">
      <alignment horizontal="right"/>
    </xf>
    <xf numFmtId="0" fontId="0" fillId="3" borderId="2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1" fillId="4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/>
    </xf>
    <xf numFmtId="0" fontId="1" fillId="4" borderId="2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173" fontId="1" fillId="3" borderId="22" xfId="0" applyNumberFormat="1" applyFont="1" applyFill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/>
    </xf>
    <xf numFmtId="165" fontId="1" fillId="2" borderId="23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0" fillId="3" borderId="22" xfId="0" applyFont="1" applyFill="1" applyBorder="1" applyAlignment="1">
      <alignment horizontal="center"/>
    </xf>
    <xf numFmtId="0" fontId="0" fillId="3" borderId="23" xfId="0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4" borderId="22" xfId="0" applyFont="1" applyFill="1" applyBorder="1" applyAlignment="1">
      <alignment horizontal="center"/>
    </xf>
    <xf numFmtId="9" fontId="1" fillId="3" borderId="22" xfId="21" applyFont="1" applyFill="1" applyBorder="1" applyAlignment="1">
      <alignment horizontal="center"/>
    </xf>
    <xf numFmtId="9" fontId="1" fillId="0" borderId="22" xfId="2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0" fillId="3" borderId="26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9" fontId="1" fillId="2" borderId="26" xfId="21" applyFont="1" applyFill="1" applyBorder="1" applyAlignment="1">
      <alignment horizontal="center"/>
    </xf>
    <xf numFmtId="9" fontId="0" fillId="3" borderId="22" xfId="21" applyFont="1" applyFill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right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0" fillId="4" borderId="38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9" fontId="1" fillId="3" borderId="38" xfId="21" applyFont="1" applyFill="1" applyBorder="1" applyAlignment="1">
      <alignment horizontal="center"/>
    </xf>
    <xf numFmtId="0" fontId="0" fillId="4" borderId="49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9" fontId="1" fillId="2" borderId="29" xfId="21" applyFont="1" applyFill="1" applyBorder="1" applyAlignment="1">
      <alignment horizontal="center"/>
    </xf>
    <xf numFmtId="9" fontId="1" fillId="2" borderId="25" xfId="21" applyFont="1" applyFill="1" applyBorder="1" applyAlignment="1">
      <alignment horizontal="center"/>
    </xf>
    <xf numFmtId="9" fontId="1" fillId="3" borderId="27" xfId="21" applyFont="1" applyFill="1" applyBorder="1" applyAlignment="1">
      <alignment horizontal="center"/>
    </xf>
    <xf numFmtId="9" fontId="1" fillId="3" borderId="20" xfId="21" applyFont="1" applyFill="1" applyBorder="1" applyAlignment="1">
      <alignment horizontal="center"/>
    </xf>
    <xf numFmtId="9" fontId="1" fillId="3" borderId="25" xfId="21" applyFont="1" applyFill="1" applyBorder="1" applyAlignment="1">
      <alignment horizontal="center"/>
    </xf>
    <xf numFmtId="9" fontId="1" fillId="3" borderId="29" xfId="21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4" borderId="23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9" fontId="1" fillId="4" borderId="23" xfId="21" applyFont="1" applyFill="1" applyBorder="1" applyAlignment="1">
      <alignment horizontal="center"/>
    </xf>
    <xf numFmtId="9" fontId="1" fillId="4" borderId="33" xfId="21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9" fontId="0" fillId="4" borderId="33" xfId="21" applyFont="1" applyFill="1" applyBorder="1" applyAlignment="1">
      <alignment horizontal="center"/>
    </xf>
    <xf numFmtId="9" fontId="0" fillId="2" borderId="33" xfId="21" applyFont="1" applyFill="1" applyBorder="1" applyAlignment="1">
      <alignment horizontal="center"/>
    </xf>
    <xf numFmtId="9" fontId="1" fillId="2" borderId="34" xfId="21" applyFont="1" applyFill="1" applyBorder="1" applyAlignment="1">
      <alignment horizontal="center"/>
    </xf>
    <xf numFmtId="9" fontId="0" fillId="3" borderId="28" xfId="21" applyFont="1" applyFill="1" applyBorder="1" applyAlignment="1">
      <alignment horizontal="center"/>
    </xf>
    <xf numFmtId="9" fontId="0" fillId="3" borderId="23" xfId="21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9" fontId="0" fillId="2" borderId="22" xfId="21" applyFont="1" applyFill="1" applyBorder="1" applyAlignment="1">
      <alignment horizontal="center"/>
    </xf>
    <xf numFmtId="9" fontId="0" fillId="2" borderId="23" xfId="21" applyFill="1" applyBorder="1" applyAlignment="1">
      <alignment horizontal="center"/>
    </xf>
    <xf numFmtId="9" fontId="0" fillId="2" borderId="22" xfId="21" applyFill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9" fontId="0" fillId="4" borderId="39" xfId="21" applyFont="1" applyFill="1" applyBorder="1" applyAlignment="1">
      <alignment horizontal="center"/>
    </xf>
    <xf numFmtId="9" fontId="0" fillId="4" borderId="39" xfId="21" applyFill="1" applyBorder="1" applyAlignment="1">
      <alignment horizontal="center"/>
    </xf>
    <xf numFmtId="9" fontId="0" fillId="4" borderId="56" xfId="2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2" borderId="49" xfId="0" applyFont="1" applyFill="1" applyBorder="1" applyAlignment="1">
      <alignment/>
    </xf>
    <xf numFmtId="165" fontId="1" fillId="2" borderId="58" xfId="0" applyNumberFormat="1" applyFont="1" applyFill="1" applyBorder="1" applyAlignment="1">
      <alignment/>
    </xf>
    <xf numFmtId="0" fontId="1" fillId="3" borderId="38" xfId="0" applyFont="1" applyFill="1" applyBorder="1" applyAlignment="1">
      <alignment horizontal="center"/>
    </xf>
    <xf numFmtId="165" fontId="1" fillId="3" borderId="33" xfId="15" applyNumberFormat="1" applyFont="1" applyFill="1" applyBorder="1" applyAlignment="1">
      <alignment horizontal="left"/>
    </xf>
    <xf numFmtId="0" fontId="1" fillId="3" borderId="33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4" borderId="59" xfId="0" applyFont="1" applyFill="1" applyBorder="1" applyAlignment="1">
      <alignment horizontal="center"/>
    </xf>
    <xf numFmtId="0" fontId="1" fillId="3" borderId="60" xfId="0" applyFont="1" applyFill="1" applyBorder="1" applyAlignment="1">
      <alignment horizontal="center"/>
    </xf>
    <xf numFmtId="0" fontId="1" fillId="3" borderId="59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3" borderId="61" xfId="0" applyFont="1" applyFill="1" applyBorder="1" applyAlignment="1">
      <alignment horizontal="center"/>
    </xf>
    <xf numFmtId="165" fontId="1" fillId="2" borderId="62" xfId="0" applyNumberFormat="1" applyFont="1" applyFill="1" applyBorder="1" applyAlignment="1">
      <alignment/>
    </xf>
    <xf numFmtId="165" fontId="1" fillId="2" borderId="45" xfId="0" applyNumberFormat="1" applyFont="1" applyFill="1" applyBorder="1" applyAlignment="1">
      <alignment/>
    </xf>
    <xf numFmtId="165" fontId="1" fillId="2" borderId="55" xfId="0" applyNumberFormat="1" applyFont="1" applyFill="1" applyBorder="1" applyAlignment="1">
      <alignment/>
    </xf>
    <xf numFmtId="0" fontId="1" fillId="0" borderId="63" xfId="0" applyFont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65" xfId="0" applyFont="1" applyFill="1" applyBorder="1" applyAlignment="1">
      <alignment horizontal="center"/>
    </xf>
    <xf numFmtId="0" fontId="1" fillId="2" borderId="66" xfId="0" applyFont="1" applyFill="1" applyBorder="1" applyAlignment="1">
      <alignment horizontal="center"/>
    </xf>
    <xf numFmtId="0" fontId="1" fillId="2" borderId="67" xfId="0" applyFont="1" applyFill="1" applyBorder="1" applyAlignment="1">
      <alignment horizontal="center"/>
    </xf>
    <xf numFmtId="165" fontId="1" fillId="2" borderId="68" xfId="15" applyNumberFormat="1" applyFont="1" applyFill="1" applyBorder="1" applyAlignment="1">
      <alignment/>
    </xf>
    <xf numFmtId="165" fontId="1" fillId="2" borderId="66" xfId="0" applyNumberFormat="1" applyFont="1" applyFill="1" applyBorder="1" applyAlignment="1">
      <alignment/>
    </xf>
    <xf numFmtId="165" fontId="1" fillId="2" borderId="69" xfId="0" applyNumberFormat="1" applyFont="1" applyFill="1" applyBorder="1" applyAlignment="1">
      <alignment/>
    </xf>
    <xf numFmtId="0" fontId="1" fillId="0" borderId="7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71" xfId="0" applyFont="1" applyBorder="1" applyAlignment="1">
      <alignment/>
    </xf>
    <xf numFmtId="0" fontId="1" fillId="3" borderId="49" xfId="0" applyFont="1" applyFill="1" applyBorder="1" applyAlignment="1">
      <alignment horizontal="center"/>
    </xf>
    <xf numFmtId="173" fontId="1" fillId="3" borderId="58" xfId="0" applyNumberFormat="1" applyFont="1" applyFill="1" applyBorder="1" applyAlignment="1">
      <alignment horizontal="center"/>
    </xf>
    <xf numFmtId="0" fontId="1" fillId="3" borderId="58" xfId="0" applyFont="1" applyFill="1" applyBorder="1" applyAlignment="1">
      <alignment horizontal="center"/>
    </xf>
    <xf numFmtId="0" fontId="1" fillId="3" borderId="62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2" fillId="0" borderId="72" xfId="0" applyFont="1" applyBorder="1" applyAlignment="1">
      <alignment horizontal="left"/>
    </xf>
    <xf numFmtId="0" fontId="8" fillId="0" borderId="0" xfId="0" applyFont="1" applyAlignment="1">
      <alignment horizontal="left"/>
    </xf>
    <xf numFmtId="165" fontId="1" fillId="2" borderId="73" xfId="0" applyNumberFormat="1" applyFont="1" applyFill="1" applyBorder="1" applyAlignment="1">
      <alignment/>
    </xf>
    <xf numFmtId="165" fontId="1" fillId="2" borderId="74" xfId="0" applyNumberFormat="1" applyFont="1" applyFill="1" applyBorder="1" applyAlignment="1">
      <alignment/>
    </xf>
    <xf numFmtId="165" fontId="1" fillId="2" borderId="75" xfId="0" applyNumberFormat="1" applyFont="1" applyFill="1" applyBorder="1" applyAlignment="1">
      <alignment/>
    </xf>
    <xf numFmtId="0" fontId="1" fillId="0" borderId="7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77" xfId="0" applyBorder="1" applyAlignment="1">
      <alignment/>
    </xf>
    <xf numFmtId="0" fontId="1" fillId="0" borderId="78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20" xfId="0" applyFont="1" applyFill="1" applyBorder="1" applyAlignment="1">
      <alignment horizontal="center"/>
    </xf>
    <xf numFmtId="0" fontId="1" fillId="4" borderId="79" xfId="0" applyFont="1" applyFill="1" applyBorder="1" applyAlignment="1">
      <alignment horizontal="center"/>
    </xf>
    <xf numFmtId="0" fontId="1" fillId="4" borderId="38" xfId="0" applyFont="1" applyFill="1" applyBorder="1" applyAlignment="1">
      <alignment horizontal="center"/>
    </xf>
    <xf numFmtId="37" fontId="1" fillId="3" borderId="25" xfId="15" applyNumberFormat="1" applyFont="1" applyFill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0" fillId="4" borderId="35" xfId="0" applyFont="1" applyFill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73" xfId="0" applyFont="1" applyFill="1" applyBorder="1" applyAlignment="1">
      <alignment horizontal="center"/>
    </xf>
    <xf numFmtId="0" fontId="1" fillId="3" borderId="76" xfId="0" applyFont="1" applyFill="1" applyBorder="1" applyAlignment="1">
      <alignment horizontal="center"/>
    </xf>
    <xf numFmtId="0" fontId="1" fillId="3" borderId="81" xfId="0" applyFont="1" applyFill="1" applyBorder="1" applyAlignment="1">
      <alignment horizontal="center"/>
    </xf>
    <xf numFmtId="165" fontId="1" fillId="3" borderId="53" xfId="15" applyNumberFormat="1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1" fillId="5" borderId="82" xfId="0" applyFont="1" applyFill="1" applyBorder="1" applyAlignment="1">
      <alignment horizontal="center"/>
    </xf>
    <xf numFmtId="0" fontId="1" fillId="5" borderId="57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4" borderId="33" xfId="0" applyFont="1" applyFill="1" applyBorder="1" applyAlignment="1">
      <alignment horizontal="center"/>
    </xf>
    <xf numFmtId="0" fontId="0" fillId="4" borderId="34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1" fillId="0" borderId="54" xfId="0" applyFont="1" applyBorder="1" applyAlignment="1">
      <alignment horizontal="right"/>
    </xf>
    <xf numFmtId="0" fontId="1" fillId="0" borderId="63" xfId="0" applyFont="1" applyBorder="1" applyAlignment="1">
      <alignment horizontal="right"/>
    </xf>
    <xf numFmtId="165" fontId="1" fillId="3" borderId="33" xfId="15" applyNumberFormat="1" applyFont="1" applyFill="1" applyBorder="1" applyAlignment="1">
      <alignment horizontal="center"/>
    </xf>
    <xf numFmtId="165" fontId="1" fillId="5" borderId="33" xfId="15" applyNumberFormat="1" applyFont="1" applyFill="1" applyBorder="1" applyAlignment="1">
      <alignment horizontal="center"/>
    </xf>
    <xf numFmtId="165" fontId="1" fillId="3" borderId="25" xfId="15" applyNumberFormat="1" applyFont="1" applyFill="1" applyBorder="1" applyAlignment="1">
      <alignment horizontal="center"/>
    </xf>
    <xf numFmtId="165" fontId="1" fillId="2" borderId="27" xfId="0" applyNumberFormat="1" applyFont="1" applyFill="1" applyBorder="1" applyAlignment="1">
      <alignment/>
    </xf>
    <xf numFmtId="165" fontId="1" fillId="2" borderId="19" xfId="0" applyNumberFormat="1" applyFont="1" applyFill="1" applyBorder="1" applyAlignment="1">
      <alignment/>
    </xf>
    <xf numFmtId="165" fontId="1" fillId="2" borderId="20" xfId="0" applyNumberFormat="1" applyFont="1" applyFill="1" applyBorder="1" applyAlignment="1">
      <alignment/>
    </xf>
    <xf numFmtId="165" fontId="1" fillId="2" borderId="28" xfId="0" applyNumberFormat="1" applyFont="1" applyFill="1" applyBorder="1" applyAlignment="1">
      <alignment/>
    </xf>
    <xf numFmtId="165" fontId="1" fillId="2" borderId="81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center"/>
    </xf>
    <xf numFmtId="165" fontId="1" fillId="0" borderId="38" xfId="15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65" fontId="1" fillId="0" borderId="33" xfId="15" applyNumberFormat="1" applyFont="1" applyFill="1" applyBorder="1" applyAlignment="1">
      <alignment horizontal="center"/>
    </xf>
    <xf numFmtId="9" fontId="1" fillId="3" borderId="22" xfId="0" applyNumberFormat="1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73" xfId="0" applyFont="1" applyFill="1" applyBorder="1" applyAlignment="1">
      <alignment horizontal="center"/>
    </xf>
    <xf numFmtId="165" fontId="1" fillId="0" borderId="36" xfId="15" applyNumberFormat="1" applyFont="1" applyFill="1" applyBorder="1" applyAlignment="1">
      <alignment horizontal="center"/>
    </xf>
    <xf numFmtId="165" fontId="1" fillId="0" borderId="76" xfId="15" applyNumberFormat="1" applyFont="1" applyFill="1" applyBorder="1" applyAlignment="1">
      <alignment horizontal="center"/>
    </xf>
    <xf numFmtId="165" fontId="1" fillId="0" borderId="35" xfId="15" applyNumberFormat="1" applyFont="1" applyFill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0" fillId="0" borderId="39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5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55" xfId="0" applyBorder="1" applyAlignment="1">
      <alignment/>
    </xf>
    <xf numFmtId="0" fontId="1" fillId="0" borderId="39" xfId="0" applyFont="1" applyBorder="1" applyAlignment="1">
      <alignment/>
    </xf>
    <xf numFmtId="0" fontId="1" fillId="0" borderId="56" xfId="0" applyFont="1" applyBorder="1" applyAlignment="1">
      <alignment/>
    </xf>
    <xf numFmtId="0" fontId="0" fillId="0" borderId="36" xfId="0" applyBorder="1" applyAlignment="1">
      <alignment/>
    </xf>
    <xf numFmtId="0" fontId="0" fillId="0" borderId="86" xfId="0" applyBorder="1" applyAlignment="1">
      <alignment/>
    </xf>
    <xf numFmtId="0" fontId="1" fillId="0" borderId="4" xfId="0" applyFont="1" applyBorder="1" applyAlignment="1">
      <alignment/>
    </xf>
    <xf numFmtId="2" fontId="0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0" fontId="1" fillId="4" borderId="87" xfId="0" applyFont="1" applyFill="1" applyBorder="1" applyAlignment="1">
      <alignment horizontal="center"/>
    </xf>
    <xf numFmtId="9" fontId="1" fillId="4" borderId="39" xfId="21" applyFont="1" applyFill="1" applyBorder="1" applyAlignment="1">
      <alignment horizontal="center"/>
    </xf>
    <xf numFmtId="9" fontId="1" fillId="4" borderId="22" xfId="21" applyFont="1" applyFill="1" applyBorder="1" applyAlignment="1">
      <alignment horizontal="center"/>
    </xf>
    <xf numFmtId="2" fontId="0" fillId="3" borderId="22" xfId="15" applyNumberFormat="1" applyFont="1" applyFill="1" applyBorder="1" applyAlignment="1">
      <alignment horizontal="center"/>
    </xf>
    <xf numFmtId="2" fontId="0" fillId="3" borderId="23" xfId="0" applyNumberFormat="1" applyFont="1" applyFill="1" applyBorder="1" applyAlignment="1">
      <alignment horizontal="center"/>
    </xf>
    <xf numFmtId="2" fontId="0" fillId="2" borderId="22" xfId="15" applyNumberFormat="1" applyFont="1" applyFill="1" applyBorder="1" applyAlignment="1">
      <alignment horizontal="center"/>
    </xf>
    <xf numFmtId="2" fontId="0" fillId="2" borderId="22" xfId="0" applyNumberFormat="1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/>
    </xf>
    <xf numFmtId="0" fontId="9" fillId="0" borderId="39" xfId="0" applyFont="1" applyBorder="1" applyAlignment="1">
      <alignment/>
    </xf>
    <xf numFmtId="0" fontId="1" fillId="5" borderId="54" xfId="0" applyFont="1" applyFill="1" applyBorder="1" applyAlignment="1">
      <alignment horizontal="center"/>
    </xf>
    <xf numFmtId="0" fontId="1" fillId="5" borderId="45" xfId="0" applyFont="1" applyFill="1" applyBorder="1" applyAlignment="1">
      <alignment horizontal="center"/>
    </xf>
    <xf numFmtId="0" fontId="1" fillId="0" borderId="88" xfId="0" applyFont="1" applyBorder="1" applyAlignment="1">
      <alignment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/>
    </xf>
    <xf numFmtId="0" fontId="0" fillId="0" borderId="91" xfId="0" applyBorder="1" applyAlignment="1">
      <alignment/>
    </xf>
    <xf numFmtId="0" fontId="2" fillId="0" borderId="92" xfId="0" applyFont="1" applyBorder="1" applyAlignment="1">
      <alignment horizontal="right"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1" fillId="0" borderId="95" xfId="0" applyFont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0" fontId="1" fillId="0" borderId="95" xfId="0" applyFont="1" applyBorder="1" applyAlignment="1">
      <alignment horizontal="right"/>
    </xf>
    <xf numFmtId="0" fontId="1" fillId="0" borderId="97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0" fontId="1" fillId="0" borderId="99" xfId="0" applyFont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4" borderId="58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0" fillId="4" borderId="100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37" fontId="1" fillId="3" borderId="33" xfId="17" applyNumberFormat="1" applyFont="1" applyFill="1" applyBorder="1" applyAlignment="1">
      <alignment horizontal="center"/>
    </xf>
    <xf numFmtId="37" fontId="1" fillId="4" borderId="33" xfId="17" applyNumberFormat="1" applyFont="1" applyFill="1" applyBorder="1" applyAlignment="1">
      <alignment horizontal="center"/>
    </xf>
    <xf numFmtId="173" fontId="1" fillId="3" borderId="28" xfId="0" applyNumberFormat="1" applyFont="1" applyFill="1" applyBorder="1" applyAlignment="1">
      <alignment horizontal="center"/>
    </xf>
    <xf numFmtId="3" fontId="0" fillId="3" borderId="22" xfId="0" applyNumberFormat="1" applyFont="1" applyFill="1" applyBorder="1" applyAlignment="1">
      <alignment horizontal="center"/>
    </xf>
    <xf numFmtId="3" fontId="0" fillId="2" borderId="23" xfId="0" applyNumberFormat="1" applyFont="1" applyFill="1" applyBorder="1" applyAlignment="1">
      <alignment horizontal="center"/>
    </xf>
    <xf numFmtId="3" fontId="0" fillId="3" borderId="23" xfId="0" applyNumberFormat="1" applyFont="1" applyFill="1" applyBorder="1" applyAlignment="1">
      <alignment horizontal="center"/>
    </xf>
    <xf numFmtId="3" fontId="0" fillId="2" borderId="74" xfId="0" applyNumberFormat="1" applyFont="1" applyFill="1" applyBorder="1" applyAlignment="1">
      <alignment horizontal="center"/>
    </xf>
    <xf numFmtId="3" fontId="0" fillId="2" borderId="22" xfId="0" applyNumberFormat="1" applyFont="1" applyFill="1" applyBorder="1" applyAlignment="1">
      <alignment horizontal="center"/>
    </xf>
    <xf numFmtId="3" fontId="0" fillId="3" borderId="22" xfId="15" applyNumberFormat="1" applyFont="1" applyFill="1" applyBorder="1" applyAlignment="1">
      <alignment horizontal="center"/>
    </xf>
    <xf numFmtId="3" fontId="0" fillId="2" borderId="22" xfId="0" applyNumberFormat="1" applyFill="1" applyBorder="1" applyAlignment="1">
      <alignment horizontal="center"/>
    </xf>
    <xf numFmtId="3" fontId="0" fillId="2" borderId="73" xfId="0" applyNumberFormat="1" applyFill="1" applyBorder="1" applyAlignment="1">
      <alignment horizontal="center"/>
    </xf>
    <xf numFmtId="3" fontId="0" fillId="2" borderId="73" xfId="0" applyNumberFormat="1" applyFont="1" applyFill="1" applyBorder="1" applyAlignment="1">
      <alignment horizontal="center"/>
    </xf>
    <xf numFmtId="3" fontId="1" fillId="2" borderId="68" xfId="0" applyNumberFormat="1" applyFont="1" applyFill="1" applyBorder="1" applyAlignment="1">
      <alignment horizontal="center"/>
    </xf>
    <xf numFmtId="3" fontId="1" fillId="2" borderId="65" xfId="0" applyNumberFormat="1" applyFont="1" applyFill="1" applyBorder="1" applyAlignment="1">
      <alignment horizontal="center"/>
    </xf>
    <xf numFmtId="3" fontId="1" fillId="2" borderId="101" xfId="0" applyNumberFormat="1" applyFont="1" applyFill="1" applyBorder="1" applyAlignment="1">
      <alignment horizontal="center"/>
    </xf>
    <xf numFmtId="3" fontId="1" fillId="3" borderId="25" xfId="15" applyNumberFormat="1" applyFont="1" applyFill="1" applyBorder="1" applyAlignment="1">
      <alignment horizontal="center"/>
    </xf>
    <xf numFmtId="3" fontId="0" fillId="2" borderId="45" xfId="0" applyNumberFormat="1" applyFont="1" applyFill="1" applyBorder="1" applyAlignment="1">
      <alignment horizontal="center"/>
    </xf>
    <xf numFmtId="3" fontId="0" fillId="2" borderId="55" xfId="0" applyNumberFormat="1" applyFont="1" applyFill="1" applyBorder="1" applyAlignment="1">
      <alignment horizontal="center"/>
    </xf>
    <xf numFmtId="3" fontId="0" fillId="2" borderId="66" xfId="0" applyNumberFormat="1" applyFill="1" applyBorder="1" applyAlignment="1">
      <alignment horizontal="center"/>
    </xf>
    <xf numFmtId="3" fontId="0" fillId="2" borderId="69" xfId="15" applyNumberForma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9" fontId="1" fillId="3" borderId="26" xfId="21" applyFont="1" applyFill="1" applyBorder="1" applyAlignment="1">
      <alignment horizontal="center"/>
    </xf>
    <xf numFmtId="9" fontId="1" fillId="3" borderId="34" xfId="21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9" fontId="1" fillId="3" borderId="45" xfId="21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9" fontId="1" fillId="2" borderId="43" xfId="21" applyFont="1" applyFill="1" applyBorder="1" applyAlignment="1">
      <alignment horizontal="center"/>
    </xf>
    <xf numFmtId="9" fontId="1" fillId="2" borderId="44" xfId="21" applyFont="1" applyFill="1" applyBorder="1" applyAlignment="1">
      <alignment horizontal="center"/>
    </xf>
    <xf numFmtId="0" fontId="1" fillId="5" borderId="102" xfId="0" applyFont="1" applyFill="1" applyBorder="1" applyAlignment="1">
      <alignment horizontal="center"/>
    </xf>
    <xf numFmtId="0" fontId="1" fillId="5" borderId="46" xfId="0" applyFont="1" applyFill="1" applyBorder="1" applyAlignment="1">
      <alignment horizontal="center"/>
    </xf>
    <xf numFmtId="9" fontId="1" fillId="5" borderId="39" xfId="21" applyFont="1" applyFill="1" applyBorder="1" applyAlignment="1">
      <alignment horizontal="center"/>
    </xf>
    <xf numFmtId="9" fontId="1" fillId="5" borderId="56" xfId="21" applyFont="1" applyFill="1" applyBorder="1" applyAlignment="1">
      <alignment horizontal="center"/>
    </xf>
    <xf numFmtId="9" fontId="1" fillId="5" borderId="58" xfId="21" applyFont="1" applyFill="1" applyBorder="1" applyAlignment="1">
      <alignment horizontal="center"/>
    </xf>
    <xf numFmtId="9" fontId="1" fillId="5" borderId="23" xfId="21" applyFont="1" applyFill="1" applyBorder="1" applyAlignment="1">
      <alignment horizontal="center"/>
    </xf>
    <xf numFmtId="1" fontId="1" fillId="4" borderId="23" xfId="0" applyNumberFormat="1" applyFont="1" applyFill="1" applyBorder="1" applyAlignment="1">
      <alignment horizontal="center"/>
    </xf>
    <xf numFmtId="1" fontId="1" fillId="3" borderId="23" xfId="21" applyNumberFormat="1" applyFont="1" applyFill="1" applyBorder="1" applyAlignment="1">
      <alignment horizontal="center"/>
    </xf>
    <xf numFmtId="9" fontId="1" fillId="5" borderId="46" xfId="21" applyFont="1" applyFill="1" applyBorder="1" applyAlignment="1">
      <alignment horizontal="center"/>
    </xf>
    <xf numFmtId="9" fontId="1" fillId="5" borderId="0" xfId="21" applyFont="1" applyFill="1" applyBorder="1" applyAlignment="1">
      <alignment horizontal="center"/>
    </xf>
    <xf numFmtId="0" fontId="1" fillId="5" borderId="38" xfId="0" applyFont="1" applyFill="1" applyBorder="1" applyAlignment="1">
      <alignment horizontal="left"/>
    </xf>
    <xf numFmtId="0" fontId="1" fillId="4" borderId="73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1" fillId="0" borderId="23" xfId="0" applyFont="1" applyBorder="1" applyAlignment="1">
      <alignment horizontal="left"/>
    </xf>
    <xf numFmtId="9" fontId="1" fillId="3" borderId="23" xfId="21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0" fillId="0" borderId="5" xfId="0" applyBorder="1" applyAlignment="1">
      <alignment/>
    </xf>
    <xf numFmtId="9" fontId="1" fillId="5" borderId="103" xfId="21" applyFont="1" applyFill="1" applyBorder="1" applyAlignment="1">
      <alignment horizontal="center"/>
    </xf>
    <xf numFmtId="9" fontId="1" fillId="5" borderId="26" xfId="21" applyFont="1" applyFill="1" applyBorder="1" applyAlignment="1">
      <alignment horizontal="center"/>
    </xf>
    <xf numFmtId="9" fontId="1" fillId="5" borderId="25" xfId="21" applyFont="1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4" fontId="1" fillId="3" borderId="23" xfId="0" applyNumberFormat="1" applyFont="1" applyFill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0" fillId="4" borderId="104" xfId="0" applyFill="1" applyBorder="1" applyAlignment="1">
      <alignment horizontal="center"/>
    </xf>
    <xf numFmtId="0" fontId="1" fillId="5" borderId="105" xfId="0" applyFont="1" applyFill="1" applyBorder="1" applyAlignment="1">
      <alignment horizontal="center"/>
    </xf>
    <xf numFmtId="0" fontId="1" fillId="5" borderId="103" xfId="0" applyFont="1" applyFill="1" applyBorder="1" applyAlignment="1">
      <alignment horizontal="center"/>
    </xf>
    <xf numFmtId="0" fontId="1" fillId="0" borderId="103" xfId="0" applyFont="1" applyBorder="1" applyAlignment="1">
      <alignment horizontal="center"/>
    </xf>
    <xf numFmtId="4" fontId="1" fillId="0" borderId="106" xfId="0" applyNumberFormat="1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9" fontId="1" fillId="5" borderId="100" xfId="21" applyFont="1" applyFill="1" applyBorder="1" applyAlignment="1">
      <alignment horizontal="center"/>
    </xf>
    <xf numFmtId="0" fontId="0" fillId="5" borderId="0" xfId="0" applyFill="1" applyAlignment="1">
      <alignment/>
    </xf>
    <xf numFmtId="9" fontId="1" fillId="5" borderId="45" xfId="21" applyFont="1" applyFill="1" applyBorder="1" applyAlignment="1">
      <alignment horizontal="center"/>
    </xf>
    <xf numFmtId="9" fontId="1" fillId="5" borderId="55" xfId="21" applyFont="1" applyFill="1" applyBorder="1" applyAlignment="1">
      <alignment horizontal="center"/>
    </xf>
    <xf numFmtId="4" fontId="1" fillId="5" borderId="0" xfId="0" applyNumberFormat="1" applyFont="1" applyFill="1" applyBorder="1" applyAlignment="1">
      <alignment horizontal="center"/>
    </xf>
    <xf numFmtId="9" fontId="1" fillId="5" borderId="22" xfId="2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9" fontId="0" fillId="4" borderId="23" xfId="21" applyFont="1" applyFill="1" applyBorder="1" applyAlignment="1">
      <alignment horizontal="center"/>
    </xf>
    <xf numFmtId="1" fontId="1" fillId="3" borderId="25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Border="1" applyAlignment="1">
      <alignment/>
    </xf>
    <xf numFmtId="0" fontId="1" fillId="3" borderId="26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left"/>
    </xf>
    <xf numFmtId="3" fontId="1" fillId="3" borderId="25" xfId="0" applyNumberFormat="1" applyFont="1" applyFill="1" applyBorder="1" applyAlignment="1">
      <alignment horizontal="center"/>
    </xf>
    <xf numFmtId="0" fontId="1" fillId="0" borderId="102" xfId="0" applyFont="1" applyBorder="1" applyAlignment="1">
      <alignment horizontal="center"/>
    </xf>
    <xf numFmtId="9" fontId="1" fillId="5" borderId="107" xfId="21" applyFont="1" applyFill="1" applyBorder="1" applyAlignment="1">
      <alignment horizontal="center"/>
    </xf>
    <xf numFmtId="9" fontId="1" fillId="5" borderId="6" xfId="21" applyFont="1" applyFill="1" applyBorder="1" applyAlignment="1">
      <alignment horizontal="center"/>
    </xf>
    <xf numFmtId="9" fontId="1" fillId="5" borderId="108" xfId="21" applyFont="1" applyFill="1" applyBorder="1" applyAlignment="1">
      <alignment horizontal="center"/>
    </xf>
    <xf numFmtId="0" fontId="1" fillId="0" borderId="109" xfId="0" applyFont="1" applyBorder="1" applyAlignment="1">
      <alignment/>
    </xf>
    <xf numFmtId="9" fontId="1" fillId="5" borderId="2" xfId="21" applyFont="1" applyFill="1" applyBorder="1" applyAlignment="1">
      <alignment horizontal="center"/>
    </xf>
    <xf numFmtId="9" fontId="1" fillId="3" borderId="73" xfId="21" applyFont="1" applyFill="1" applyBorder="1" applyAlignment="1">
      <alignment horizontal="center"/>
    </xf>
    <xf numFmtId="9" fontId="1" fillId="3" borderId="74" xfId="21" applyFont="1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1" fillId="3" borderId="52" xfId="21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1" fillId="5" borderId="0" xfId="0" applyFont="1" applyFill="1" applyBorder="1" applyAlignment="1">
      <alignment/>
    </xf>
    <xf numFmtId="0" fontId="0" fillId="5" borderId="6" xfId="0" applyFill="1" applyBorder="1" applyAlignment="1">
      <alignment/>
    </xf>
    <xf numFmtId="0" fontId="0" fillId="4" borderId="110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2" fontId="1" fillId="4" borderId="108" xfId="0" applyNumberFormat="1" applyFont="1" applyFill="1" applyBorder="1" applyAlignment="1">
      <alignment horizontal="center"/>
    </xf>
    <xf numFmtId="2" fontId="1" fillId="3" borderId="108" xfId="0" applyNumberFormat="1" applyFont="1" applyFill="1" applyBorder="1" applyAlignment="1">
      <alignment horizontal="center"/>
    </xf>
    <xf numFmtId="2" fontId="0" fillId="3" borderId="22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1" fillId="2" borderId="52" xfId="0" applyNumberFormat="1" applyFont="1" applyFill="1" applyBorder="1" applyAlignment="1">
      <alignment horizontal="center"/>
    </xf>
    <xf numFmtId="2" fontId="0" fillId="3" borderId="23" xfId="0" applyNumberFormat="1" applyFill="1" applyBorder="1" applyAlignment="1">
      <alignment horizontal="center"/>
    </xf>
    <xf numFmtId="2" fontId="0" fillId="3" borderId="25" xfId="0" applyNumberFormat="1" applyFill="1" applyBorder="1" applyAlignment="1">
      <alignment horizontal="center"/>
    </xf>
    <xf numFmtId="3" fontId="0" fillId="2" borderId="28" xfId="0" applyNumberFormat="1" applyFont="1" applyFill="1" applyBorder="1" applyAlignment="1">
      <alignment horizontal="center"/>
    </xf>
    <xf numFmtId="3" fontId="0" fillId="2" borderId="28" xfId="0" applyNumberFormat="1" applyFill="1" applyBorder="1" applyAlignment="1">
      <alignment horizontal="center"/>
    </xf>
    <xf numFmtId="3" fontId="0" fillId="2" borderId="23" xfId="0" applyNumberFormat="1" applyFill="1" applyBorder="1" applyAlignment="1">
      <alignment horizontal="center"/>
    </xf>
    <xf numFmtId="3" fontId="0" fillId="2" borderId="29" xfId="0" applyNumberFormat="1" applyFill="1" applyBorder="1" applyAlignment="1">
      <alignment horizontal="center"/>
    </xf>
    <xf numFmtId="3" fontId="0" fillId="2" borderId="26" xfId="0" applyNumberFormat="1" applyFill="1" applyBorder="1" applyAlignment="1">
      <alignment horizontal="center"/>
    </xf>
    <xf numFmtId="3" fontId="0" fillId="2" borderId="25" xfId="0" applyNumberFormat="1" applyFill="1" applyBorder="1" applyAlignment="1">
      <alignment horizontal="center"/>
    </xf>
    <xf numFmtId="3" fontId="0" fillId="2" borderId="111" xfId="0" applyNumberFormat="1" applyFill="1" applyBorder="1" applyAlignment="1">
      <alignment horizontal="center"/>
    </xf>
    <xf numFmtId="3" fontId="0" fillId="2" borderId="112" xfId="0" applyNumberFormat="1" applyFill="1" applyBorder="1" applyAlignment="1">
      <alignment horizontal="center"/>
    </xf>
    <xf numFmtId="3" fontId="0" fillId="2" borderId="113" xfId="15" applyNumberFormat="1" applyFill="1" applyBorder="1" applyAlignment="1">
      <alignment horizontal="center"/>
    </xf>
    <xf numFmtId="0" fontId="1" fillId="5" borderId="0" xfId="0" applyFont="1" applyFill="1" applyAlignment="1">
      <alignment horizontal="left"/>
    </xf>
    <xf numFmtId="0" fontId="1" fillId="5" borderId="0" xfId="0" applyFont="1" applyFill="1" applyAlignment="1">
      <alignment/>
    </xf>
    <xf numFmtId="0" fontId="1" fillId="5" borderId="3" xfId="0" applyFont="1" applyFill="1" applyBorder="1" applyAlignment="1">
      <alignment horizontal="left"/>
    </xf>
    <xf numFmtId="0" fontId="1" fillId="5" borderId="6" xfId="0" applyFont="1" applyFill="1" applyBorder="1" applyAlignment="1">
      <alignment/>
    </xf>
    <xf numFmtId="0" fontId="1" fillId="5" borderId="71" xfId="0" applyFont="1" applyFill="1" applyBorder="1" applyAlignment="1">
      <alignment/>
    </xf>
    <xf numFmtId="0" fontId="1" fillId="5" borderId="80" xfId="0" applyFont="1" applyFill="1" applyBorder="1" applyAlignment="1">
      <alignment/>
    </xf>
    <xf numFmtId="0" fontId="1" fillId="5" borderId="2" xfId="0" applyFont="1" applyFill="1" applyBorder="1" applyAlignment="1">
      <alignment horizontal="left"/>
    </xf>
    <xf numFmtId="0" fontId="1" fillId="5" borderId="0" xfId="0" applyFont="1" applyFill="1" applyBorder="1" applyAlignment="1">
      <alignment/>
    </xf>
    <xf numFmtId="0" fontId="1" fillId="5" borderId="46" xfId="0" applyFont="1" applyFill="1" applyBorder="1" applyAlignment="1">
      <alignment/>
    </xf>
    <xf numFmtId="0" fontId="1" fillId="5" borderId="114" xfId="0" applyFont="1" applyFill="1" applyBorder="1" applyAlignment="1">
      <alignment/>
    </xf>
    <xf numFmtId="0" fontId="1" fillId="5" borderId="30" xfId="0" applyFont="1" applyFill="1" applyBorder="1" applyAlignment="1">
      <alignment/>
    </xf>
    <xf numFmtId="0" fontId="1" fillId="5" borderId="70" xfId="0" applyFont="1" applyFill="1" applyBorder="1" applyAlignment="1">
      <alignment/>
    </xf>
    <xf numFmtId="0" fontId="1" fillId="5" borderId="15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0" fontId="1" fillId="5" borderId="48" xfId="0" applyFont="1" applyFill="1" applyBorder="1" applyAlignment="1">
      <alignment horizontal="center"/>
    </xf>
    <xf numFmtId="0" fontId="1" fillId="5" borderId="115" xfId="0" applyFont="1" applyFill="1" applyBorder="1" applyAlignment="1">
      <alignment horizontal="center"/>
    </xf>
    <xf numFmtId="0" fontId="1" fillId="5" borderId="11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7" xfId="0" applyFont="1" applyFill="1" applyBorder="1" applyAlignment="1">
      <alignment horizontal="center"/>
    </xf>
    <xf numFmtId="0" fontId="1" fillId="5" borderId="116" xfId="0" applyFont="1" applyFill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1" fillId="5" borderId="16" xfId="0" applyFont="1" applyFill="1" applyBorder="1" applyAlignment="1">
      <alignment horizontal="left"/>
    </xf>
    <xf numFmtId="0" fontId="1" fillId="5" borderId="30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39" xfId="0" applyFont="1" applyFill="1" applyBorder="1" applyAlignment="1">
      <alignment horizontal="center"/>
    </xf>
    <xf numFmtId="0" fontId="1" fillId="5" borderId="70" xfId="0" applyFont="1" applyFill="1" applyBorder="1" applyAlignment="1">
      <alignment horizontal="center"/>
    </xf>
    <xf numFmtId="9" fontId="1" fillId="5" borderId="115" xfId="21" applyFont="1" applyFill="1" applyBorder="1" applyAlignment="1">
      <alignment horizontal="center"/>
    </xf>
    <xf numFmtId="0" fontId="2" fillId="5" borderId="72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5" borderId="0" xfId="0" applyFont="1" applyFill="1" applyAlignment="1">
      <alignment/>
    </xf>
    <xf numFmtId="0" fontId="1" fillId="5" borderId="0" xfId="0" applyFont="1" applyFill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5" borderId="117" xfId="0" applyFont="1" applyFill="1" applyBorder="1" applyAlignment="1">
      <alignment horizontal="center"/>
    </xf>
    <xf numFmtId="0" fontId="1" fillId="5" borderId="87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0" fillId="5" borderId="0" xfId="0" applyNumberFormat="1" applyFill="1" applyAlignment="1">
      <alignment/>
    </xf>
    <xf numFmtId="0" fontId="1" fillId="5" borderId="118" xfId="0" applyFont="1" applyFill="1" applyBorder="1" applyAlignment="1">
      <alignment/>
    </xf>
    <xf numFmtId="0" fontId="1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right"/>
    </xf>
    <xf numFmtId="0" fontId="3" fillId="5" borderId="28" xfId="0" applyFont="1" applyFill="1" applyBorder="1" applyAlignment="1">
      <alignment horizontal="left"/>
    </xf>
    <xf numFmtId="0" fontId="1" fillId="5" borderId="23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2" fillId="5" borderId="13" xfId="0" applyFont="1" applyFill="1" applyBorder="1" applyAlignment="1">
      <alignment horizontal="right"/>
    </xf>
    <xf numFmtId="0" fontId="1" fillId="5" borderId="6" xfId="0" applyFont="1" applyFill="1" applyBorder="1" applyAlignment="1">
      <alignment/>
    </xf>
    <xf numFmtId="1" fontId="0" fillId="5" borderId="0" xfId="0" applyNumberFormat="1" applyFill="1" applyAlignment="1">
      <alignment/>
    </xf>
    <xf numFmtId="0" fontId="0" fillId="5" borderId="4" xfId="0" applyFill="1" applyBorder="1" applyAlignment="1">
      <alignment/>
    </xf>
    <xf numFmtId="4" fontId="1" fillId="5" borderId="4" xfId="0" applyNumberFormat="1" applyFont="1" applyFill="1" applyBorder="1" applyAlignment="1">
      <alignment horizontal="center"/>
    </xf>
    <xf numFmtId="4" fontId="1" fillId="0" borderId="74" xfId="0" applyNumberFormat="1" applyFont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right"/>
    </xf>
    <xf numFmtId="0" fontId="1" fillId="5" borderId="11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5" borderId="11" xfId="0" applyFill="1" applyBorder="1" applyAlignment="1">
      <alignment/>
    </xf>
    <xf numFmtId="0" fontId="0" fillId="0" borderId="30" xfId="0" applyBorder="1" applyAlignment="1">
      <alignment/>
    </xf>
    <xf numFmtId="0" fontId="1" fillId="5" borderId="71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right"/>
    </xf>
    <xf numFmtId="0" fontId="0" fillId="0" borderId="21" xfId="0" applyBorder="1" applyAlignment="1">
      <alignment/>
    </xf>
    <xf numFmtId="0" fontId="0" fillId="0" borderId="33" xfId="0" applyBorder="1" applyAlignment="1">
      <alignment/>
    </xf>
    <xf numFmtId="0" fontId="0" fillId="5" borderId="24" xfId="0" applyFill="1" applyBorder="1" applyAlignment="1">
      <alignment/>
    </xf>
    <xf numFmtId="0" fontId="0" fillId="5" borderId="34" xfId="0" applyFill="1" applyBorder="1" applyAlignment="1">
      <alignment/>
    </xf>
    <xf numFmtId="0" fontId="0" fillId="5" borderId="2" xfId="0" applyFill="1" applyBorder="1" applyAlignment="1">
      <alignment/>
    </xf>
    <xf numFmtId="0" fontId="1" fillId="5" borderId="120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5" borderId="23" xfId="0" applyFill="1" applyBorder="1" applyAlignment="1">
      <alignment/>
    </xf>
    <xf numFmtId="0" fontId="3" fillId="5" borderId="21" xfId="0" applyFont="1" applyFill="1" applyBorder="1" applyAlignment="1">
      <alignment horizontal="center" vertical="center"/>
    </xf>
    <xf numFmtId="0" fontId="0" fillId="5" borderId="28" xfId="0" applyFill="1" applyBorder="1" applyAlignment="1">
      <alignment/>
    </xf>
    <xf numFmtId="0" fontId="3" fillId="5" borderId="28" xfId="0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5" borderId="84" xfId="0" applyFill="1" applyBorder="1" applyAlignment="1">
      <alignment/>
    </xf>
    <xf numFmtId="0" fontId="0" fillId="5" borderId="0" xfId="0" applyFont="1" applyFill="1" applyBorder="1" applyAlignment="1">
      <alignment horizontal="center"/>
    </xf>
    <xf numFmtId="0" fontId="3" fillId="0" borderId="102" xfId="0" applyFont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0" fillId="5" borderId="25" xfId="0" applyFill="1" applyBorder="1" applyAlignment="1">
      <alignment horizontal="center"/>
    </xf>
    <xf numFmtId="9" fontId="1" fillId="4" borderId="3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5" borderId="6" xfId="0" applyFill="1" applyBorder="1" applyAlignment="1">
      <alignment horizontal="center"/>
    </xf>
    <xf numFmtId="0" fontId="0" fillId="0" borderId="35" xfId="0" applyBorder="1" applyAlignment="1">
      <alignment/>
    </xf>
    <xf numFmtId="0" fontId="0" fillId="4" borderId="87" xfId="0" applyFill="1" applyBorder="1" applyAlignment="1">
      <alignment horizontal="center"/>
    </xf>
    <xf numFmtId="0" fontId="0" fillId="0" borderId="25" xfId="0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" fillId="5" borderId="84" xfId="0" applyFont="1" applyFill="1" applyBorder="1" applyAlignment="1">
      <alignment horizontal="center"/>
    </xf>
    <xf numFmtId="0" fontId="0" fillId="5" borderId="54" xfId="0" applyFill="1" applyBorder="1" applyAlignment="1">
      <alignment/>
    </xf>
    <xf numFmtId="0" fontId="0" fillId="5" borderId="61" xfId="0" applyFill="1" applyBorder="1" applyAlignment="1">
      <alignment/>
    </xf>
    <xf numFmtId="0" fontId="1" fillId="0" borderId="59" xfId="0" applyFont="1" applyBorder="1" applyAlignment="1">
      <alignment horizontal="center"/>
    </xf>
    <xf numFmtId="0" fontId="1" fillId="3" borderId="55" xfId="0" applyFont="1" applyFill="1" applyBorder="1" applyAlignment="1">
      <alignment horizontal="center"/>
    </xf>
    <xf numFmtId="0" fontId="0" fillId="5" borderId="63" xfId="0" applyFill="1" applyBorder="1" applyAlignment="1">
      <alignment/>
    </xf>
    <xf numFmtId="0" fontId="0" fillId="5" borderId="67" xfId="0" applyFill="1" applyBorder="1" applyAlignment="1">
      <alignment/>
    </xf>
    <xf numFmtId="0" fontId="0" fillId="5" borderId="121" xfId="0" applyFill="1" applyBorder="1" applyAlignment="1">
      <alignment/>
    </xf>
    <xf numFmtId="0" fontId="1" fillId="3" borderId="112" xfId="0" applyFont="1" applyFill="1" applyBorder="1" applyAlignment="1">
      <alignment horizontal="center"/>
    </xf>
    <xf numFmtId="0" fontId="1" fillId="3" borderId="113" xfId="0" applyFont="1" applyFill="1" applyBorder="1" applyAlignment="1">
      <alignment horizontal="center"/>
    </xf>
    <xf numFmtId="0" fontId="0" fillId="5" borderId="122" xfId="0" applyFill="1" applyBorder="1" applyAlignment="1">
      <alignment/>
    </xf>
    <xf numFmtId="0" fontId="1" fillId="0" borderId="111" xfId="0" applyFont="1" applyBorder="1" applyAlignment="1">
      <alignment horizontal="center"/>
    </xf>
    <xf numFmtId="165" fontId="0" fillId="2" borderId="64" xfId="0" applyNumberFormat="1" applyFill="1" applyBorder="1" applyAlignment="1">
      <alignment/>
    </xf>
    <xf numFmtId="165" fontId="0" fillId="2" borderId="66" xfId="0" applyNumberFormat="1" applyFill="1" applyBorder="1" applyAlignment="1">
      <alignment/>
    </xf>
    <xf numFmtId="165" fontId="0" fillId="2" borderId="69" xfId="0" applyNumberFormat="1" applyFill="1" applyBorder="1" applyAlignment="1">
      <alignment/>
    </xf>
    <xf numFmtId="2" fontId="0" fillId="5" borderId="45" xfId="0" applyNumberFormat="1" applyFont="1" applyFill="1" applyBorder="1" applyAlignment="1">
      <alignment horizontal="center"/>
    </xf>
    <xf numFmtId="2" fontId="0" fillId="5" borderId="45" xfId="0" applyNumberFormat="1" applyFill="1" applyBorder="1" applyAlignment="1">
      <alignment horizontal="center"/>
    </xf>
    <xf numFmtId="2" fontId="0" fillId="5" borderId="60" xfId="0" applyNumberForma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71" xfId="0" applyBorder="1" applyAlignment="1">
      <alignment/>
    </xf>
    <xf numFmtId="9" fontId="1" fillId="4" borderId="73" xfId="21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5" borderId="61" xfId="0" applyFont="1" applyFill="1" applyBorder="1" applyAlignment="1">
      <alignment horizontal="center"/>
    </xf>
    <xf numFmtId="4" fontId="1" fillId="5" borderId="55" xfId="0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45" xfId="0" applyNumberFormat="1" applyFill="1" applyBorder="1" applyAlignment="1">
      <alignment horizontal="center"/>
    </xf>
    <xf numFmtId="0" fontId="1" fillId="0" borderId="123" xfId="0" applyFont="1" applyBorder="1" applyAlignment="1">
      <alignment horizontal="center"/>
    </xf>
    <xf numFmtId="0" fontId="1" fillId="0" borderId="124" xfId="0" applyFont="1" applyBorder="1" applyAlignment="1">
      <alignment horizontal="center"/>
    </xf>
    <xf numFmtId="0" fontId="1" fillId="5" borderId="125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  <xf numFmtId="9" fontId="1" fillId="3" borderId="73" xfId="0" applyNumberFormat="1" applyFont="1" applyFill="1" applyBorder="1" applyAlignment="1">
      <alignment horizontal="center"/>
    </xf>
    <xf numFmtId="9" fontId="0" fillId="4" borderId="22" xfId="21" applyFont="1" applyFill="1" applyBorder="1" applyAlignment="1">
      <alignment horizontal="center"/>
    </xf>
    <xf numFmtId="9" fontId="0" fillId="4" borderId="45" xfId="21" applyFont="1" applyFill="1" applyBorder="1" applyAlignment="1">
      <alignment horizontal="center"/>
    </xf>
    <xf numFmtId="9" fontId="0" fillId="4" borderId="55" xfId="21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right"/>
    </xf>
    <xf numFmtId="0" fontId="1" fillId="6" borderId="17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4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right"/>
    </xf>
    <xf numFmtId="1" fontId="0" fillId="8" borderId="27" xfId="0" applyNumberFormat="1" applyFont="1" applyFill="1" applyBorder="1" applyAlignment="1">
      <alignment horizontal="center"/>
    </xf>
    <xf numFmtId="1" fontId="0" fillId="8" borderId="19" xfId="0" applyNumberFormat="1" applyFont="1" applyFill="1" applyBorder="1" applyAlignment="1">
      <alignment horizontal="center"/>
    </xf>
    <xf numFmtId="1" fontId="0" fillId="8" borderId="19" xfId="15" applyNumberFormat="1" applyFont="1" applyFill="1" applyBorder="1" applyAlignment="1">
      <alignment horizontal="center"/>
    </xf>
    <xf numFmtId="1" fontId="0" fillId="8" borderId="20" xfId="0" applyNumberFormat="1" applyFont="1" applyFill="1" applyBorder="1" applyAlignment="1">
      <alignment horizontal="center"/>
    </xf>
    <xf numFmtId="0" fontId="1" fillId="7" borderId="41" xfId="0" applyFont="1" applyFill="1" applyBorder="1" applyAlignment="1">
      <alignment horizontal="right"/>
    </xf>
    <xf numFmtId="1" fontId="0" fillId="8" borderId="28" xfId="0" applyNumberFormat="1" applyFont="1" applyFill="1" applyBorder="1" applyAlignment="1">
      <alignment horizontal="center"/>
    </xf>
    <xf numFmtId="1" fontId="0" fillId="8" borderId="22" xfId="0" applyNumberFormat="1" applyFont="1" applyFill="1" applyBorder="1" applyAlignment="1">
      <alignment horizontal="center"/>
    </xf>
    <xf numFmtId="1" fontId="0" fillId="8" borderId="22" xfId="21" applyNumberFormat="1" applyFont="1" applyFill="1" applyBorder="1" applyAlignment="1">
      <alignment horizontal="center"/>
    </xf>
    <xf numFmtId="1" fontId="0" fillId="8" borderId="23" xfId="0" applyNumberFormat="1" applyFont="1" applyFill="1" applyBorder="1" applyAlignment="1">
      <alignment horizontal="center"/>
    </xf>
    <xf numFmtId="44" fontId="1" fillId="7" borderId="41" xfId="17" applyFont="1" applyFill="1" applyBorder="1" applyAlignment="1">
      <alignment horizontal="right"/>
    </xf>
    <xf numFmtId="0" fontId="1" fillId="7" borderId="126" xfId="0" applyFont="1" applyFill="1" applyBorder="1" applyAlignment="1">
      <alignment horizontal="right"/>
    </xf>
    <xf numFmtId="1" fontId="0" fillId="8" borderId="81" xfId="0" applyNumberFormat="1" applyFont="1" applyFill="1" applyBorder="1" applyAlignment="1">
      <alignment horizontal="center"/>
    </xf>
    <xf numFmtId="1" fontId="0" fillId="8" borderId="73" xfId="0" applyNumberFormat="1" applyFont="1" applyFill="1" applyBorder="1" applyAlignment="1">
      <alignment horizontal="center"/>
    </xf>
    <xf numFmtId="1" fontId="0" fillId="8" borderId="74" xfId="0" applyNumberFormat="1" applyFont="1" applyFill="1" applyBorder="1" applyAlignment="1">
      <alignment horizontal="center"/>
    </xf>
    <xf numFmtId="0" fontId="1" fillId="7" borderId="14" xfId="0" applyFont="1" applyFill="1" applyBorder="1" applyAlignment="1">
      <alignment horizontal="right"/>
    </xf>
    <xf numFmtId="1" fontId="0" fillId="8" borderId="64" xfId="0" applyNumberFormat="1" applyFill="1" applyBorder="1" applyAlignment="1">
      <alignment horizontal="center"/>
    </xf>
    <xf numFmtId="1" fontId="0" fillId="8" borderId="66" xfId="0" applyNumberFormat="1" applyFill="1" applyBorder="1" applyAlignment="1">
      <alignment horizontal="center"/>
    </xf>
    <xf numFmtId="43" fontId="0" fillId="8" borderId="69" xfId="15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96" xfId="0" applyFont="1" applyFill="1" applyBorder="1" applyAlignment="1">
      <alignment horizontal="center"/>
    </xf>
    <xf numFmtId="0" fontId="1" fillId="7" borderId="57" xfId="0" applyFont="1" applyFill="1" applyBorder="1" applyAlignment="1">
      <alignment horizontal="center"/>
    </xf>
    <xf numFmtId="0" fontId="1" fillId="7" borderId="118" xfId="0" applyFont="1" applyFill="1" applyBorder="1" applyAlignment="1">
      <alignment horizontal="center"/>
    </xf>
    <xf numFmtId="0" fontId="1" fillId="7" borderId="37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3" fontId="0" fillId="8" borderId="22" xfId="0" applyNumberFormat="1" applyFont="1" applyFill="1" applyBorder="1" applyAlignment="1">
      <alignment horizontal="center"/>
    </xf>
    <xf numFmtId="3" fontId="0" fillId="8" borderId="23" xfId="0" applyNumberFormat="1" applyFont="1" applyFill="1" applyBorder="1" applyAlignment="1">
      <alignment horizontal="center"/>
    </xf>
    <xf numFmtId="3" fontId="0" fillId="8" borderId="45" xfId="0" applyNumberFormat="1" applyFont="1" applyFill="1" applyBorder="1" applyAlignment="1">
      <alignment horizontal="center"/>
    </xf>
    <xf numFmtId="3" fontId="0" fillId="8" borderId="55" xfId="0" applyNumberFormat="1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1" fontId="0" fillId="8" borderId="28" xfId="0" applyNumberFormat="1" applyFill="1" applyBorder="1" applyAlignment="1">
      <alignment horizontal="center"/>
    </xf>
    <xf numFmtId="1" fontId="0" fillId="8" borderId="22" xfId="0" applyNumberFormat="1" applyFill="1" applyBorder="1" applyAlignment="1">
      <alignment horizontal="center"/>
    </xf>
    <xf numFmtId="1" fontId="0" fillId="8" borderId="23" xfId="0" applyNumberFormat="1" applyFill="1" applyBorder="1" applyAlignment="1">
      <alignment horizontal="center"/>
    </xf>
    <xf numFmtId="173" fontId="0" fillId="8" borderId="28" xfId="0" applyNumberFormat="1" applyFill="1" applyBorder="1" applyAlignment="1">
      <alignment horizontal="center"/>
    </xf>
    <xf numFmtId="173" fontId="0" fillId="8" borderId="22" xfId="0" applyNumberFormat="1" applyFill="1" applyBorder="1" applyAlignment="1">
      <alignment horizontal="center"/>
    </xf>
    <xf numFmtId="0" fontId="1" fillId="7" borderId="50" xfId="0" applyFont="1" applyFill="1" applyBorder="1" applyAlignment="1">
      <alignment horizontal="center"/>
    </xf>
    <xf numFmtId="1" fontId="0" fillId="8" borderId="29" xfId="0" applyNumberFormat="1" applyFill="1" applyBorder="1" applyAlignment="1">
      <alignment horizontal="center"/>
    </xf>
    <xf numFmtId="0" fontId="0" fillId="8" borderId="26" xfId="0" applyFill="1" applyBorder="1" applyAlignment="1">
      <alignment horizontal="center"/>
    </xf>
    <xf numFmtId="43" fontId="0" fillId="8" borderId="26" xfId="0" applyNumberFormat="1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2" fillId="9" borderId="1" xfId="0" applyFont="1" applyFill="1" applyBorder="1" applyAlignment="1">
      <alignment horizontal="left"/>
    </xf>
    <xf numFmtId="0" fontId="2" fillId="9" borderId="2" xfId="0" applyFont="1" applyFill="1" applyBorder="1" applyAlignment="1">
      <alignment horizontal="right"/>
    </xf>
    <xf numFmtId="0" fontId="1" fillId="9" borderId="17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0" xfId="0" applyFont="1" applyFill="1" applyBorder="1" applyAlignment="1">
      <alignment horizontal="center"/>
    </xf>
    <xf numFmtId="0" fontId="1" fillId="9" borderId="21" xfId="0" applyFont="1" applyFill="1" applyBorder="1" applyAlignment="1">
      <alignment horizontal="right"/>
    </xf>
    <xf numFmtId="3" fontId="0" fillId="9" borderId="22" xfId="0" applyNumberFormat="1" applyFont="1" applyFill="1" applyBorder="1" applyAlignment="1">
      <alignment horizontal="center"/>
    </xf>
    <xf numFmtId="3" fontId="0" fillId="9" borderId="23" xfId="0" applyNumberFormat="1" applyFont="1" applyFill="1" applyBorder="1" applyAlignment="1">
      <alignment horizontal="center"/>
    </xf>
    <xf numFmtId="0" fontId="1" fillId="9" borderId="54" xfId="0" applyFont="1" applyFill="1" applyBorder="1" applyAlignment="1">
      <alignment horizontal="right"/>
    </xf>
    <xf numFmtId="3" fontId="0" fillId="9" borderId="45" xfId="0" applyNumberFormat="1" applyFont="1" applyFill="1" applyBorder="1" applyAlignment="1">
      <alignment horizontal="center"/>
    </xf>
    <xf numFmtId="3" fontId="0" fillId="9" borderId="55" xfId="0" applyNumberFormat="1" applyFont="1" applyFill="1" applyBorder="1" applyAlignment="1">
      <alignment horizontal="center"/>
    </xf>
    <xf numFmtId="0" fontId="1" fillId="9" borderId="63" xfId="0" applyFont="1" applyFill="1" applyBorder="1" applyAlignment="1">
      <alignment horizontal="right"/>
    </xf>
    <xf numFmtId="3" fontId="0" fillId="9" borderId="66" xfId="0" applyNumberFormat="1" applyFill="1" applyBorder="1" applyAlignment="1">
      <alignment horizontal="center"/>
    </xf>
    <xf numFmtId="3" fontId="0" fillId="9" borderId="69" xfId="15" applyNumberFormat="1" applyFill="1" applyBorder="1" applyAlignment="1">
      <alignment horizontal="center"/>
    </xf>
    <xf numFmtId="0" fontId="1" fillId="9" borderId="8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9" borderId="40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9" borderId="41" xfId="0" applyFont="1" applyFill="1" applyBorder="1" applyAlignment="1">
      <alignment horizontal="right"/>
    </xf>
    <xf numFmtId="3" fontId="0" fillId="9" borderId="28" xfId="0" applyNumberFormat="1" applyFont="1" applyFill="1" applyBorder="1" applyAlignment="1">
      <alignment horizontal="center"/>
    </xf>
    <xf numFmtId="3" fontId="0" fillId="9" borderId="28" xfId="0" applyNumberFormat="1" applyFill="1" applyBorder="1" applyAlignment="1">
      <alignment horizontal="center"/>
    </xf>
    <xf numFmtId="3" fontId="0" fillId="9" borderId="22" xfId="0" applyNumberFormat="1" applyFill="1" applyBorder="1" applyAlignment="1">
      <alignment horizontal="center"/>
    </xf>
    <xf numFmtId="3" fontId="0" fillId="9" borderId="23" xfId="0" applyNumberForma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1" fillId="9" borderId="0" xfId="0" applyFont="1" applyFill="1" applyAlignment="1">
      <alignment horizontal="left"/>
    </xf>
    <xf numFmtId="165" fontId="1" fillId="3" borderId="61" xfId="15" applyNumberFormat="1" applyFont="1" applyFill="1" applyBorder="1" applyAlignment="1">
      <alignment horizontal="left"/>
    </xf>
    <xf numFmtId="0" fontId="1" fillId="4" borderId="81" xfId="0" applyFont="1" applyFill="1" applyBorder="1" applyAlignment="1">
      <alignment horizontal="center"/>
    </xf>
    <xf numFmtId="173" fontId="1" fillId="3" borderId="75" xfId="0" applyNumberFormat="1" applyFont="1" applyFill="1" applyBorder="1" applyAlignment="1">
      <alignment horizontal="center"/>
    </xf>
    <xf numFmtId="173" fontId="1" fillId="3" borderId="73" xfId="0" applyNumberFormat="1" applyFont="1" applyFill="1" applyBorder="1" applyAlignment="1">
      <alignment horizontal="center"/>
    </xf>
    <xf numFmtId="1" fontId="1" fillId="3" borderId="73" xfId="0" applyNumberFormat="1" applyFont="1" applyFill="1" applyBorder="1" applyAlignment="1">
      <alignment horizontal="center"/>
    </xf>
    <xf numFmtId="165" fontId="1" fillId="3" borderId="53" xfId="15" applyNumberFormat="1" applyFont="1" applyFill="1" applyBorder="1" applyAlignment="1">
      <alignment horizontal="left"/>
    </xf>
    <xf numFmtId="173" fontId="1" fillId="3" borderId="49" xfId="0" applyNumberFormat="1" applyFont="1" applyFill="1" applyBorder="1" applyAlignment="1">
      <alignment horizontal="center"/>
    </xf>
    <xf numFmtId="173" fontId="1" fillId="3" borderId="19" xfId="0" applyNumberFormat="1" applyFont="1" applyFill="1" applyBorder="1" applyAlignment="1">
      <alignment horizontal="center"/>
    </xf>
    <xf numFmtId="1" fontId="1" fillId="3" borderId="19" xfId="0" applyNumberFormat="1" applyFont="1" applyFill="1" applyBorder="1" applyAlignment="1">
      <alignment horizontal="center"/>
    </xf>
    <xf numFmtId="165" fontId="1" fillId="3" borderId="38" xfId="15" applyNumberFormat="1" applyFont="1" applyFill="1" applyBorder="1" applyAlignment="1">
      <alignment horizontal="left"/>
    </xf>
    <xf numFmtId="165" fontId="1" fillId="2" borderId="49" xfId="0" applyNumberFormat="1" applyFont="1" applyFill="1" applyBorder="1" applyAlignment="1">
      <alignment/>
    </xf>
    <xf numFmtId="173" fontId="1" fillId="3" borderId="81" xfId="0" applyNumberFormat="1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4" borderId="96" xfId="0" applyFont="1" applyFill="1" applyBorder="1" applyAlignment="1">
      <alignment horizontal="center"/>
    </xf>
    <xf numFmtId="0" fontId="1" fillId="3" borderId="82" xfId="0" applyFont="1" applyFill="1" applyBorder="1" applyAlignment="1">
      <alignment horizontal="center"/>
    </xf>
    <xf numFmtId="0" fontId="1" fillId="3" borderId="96" xfId="0" applyFont="1" applyFill="1" applyBorder="1" applyAlignment="1">
      <alignment horizontal="center"/>
    </xf>
    <xf numFmtId="0" fontId="1" fillId="3" borderId="57" xfId="0" applyFont="1" applyFill="1" applyBorder="1" applyAlignment="1">
      <alignment horizontal="center"/>
    </xf>
    <xf numFmtId="0" fontId="1" fillId="3" borderId="95" xfId="0" applyFont="1" applyFill="1" applyBorder="1" applyAlignment="1">
      <alignment horizontal="center"/>
    </xf>
    <xf numFmtId="0" fontId="1" fillId="3" borderId="97" xfId="0" applyFont="1" applyFill="1" applyBorder="1" applyAlignment="1">
      <alignment horizontal="center"/>
    </xf>
    <xf numFmtId="165" fontId="1" fillId="2" borderId="95" xfId="0" applyNumberFormat="1" applyFont="1" applyFill="1" applyBorder="1" applyAlignment="1">
      <alignment/>
    </xf>
    <xf numFmtId="165" fontId="1" fillId="2" borderId="57" xfId="0" applyNumberFormat="1" applyFont="1" applyFill="1" applyBorder="1" applyAlignment="1">
      <alignment/>
    </xf>
    <xf numFmtId="165" fontId="1" fillId="2" borderId="118" xfId="0" applyNumberFormat="1" applyFont="1" applyFill="1" applyBorder="1" applyAlignment="1">
      <alignment/>
    </xf>
    <xf numFmtId="0" fontId="0" fillId="0" borderId="6" xfId="0" applyBorder="1" applyAlignment="1">
      <alignment horizontal="center"/>
    </xf>
    <xf numFmtId="0" fontId="2" fillId="0" borderId="127" xfId="0" applyFont="1" applyBorder="1" applyAlignment="1">
      <alignment horizontal="center"/>
    </xf>
    <xf numFmtId="0" fontId="0" fillId="0" borderId="128" xfId="0" applyBorder="1" applyAlignment="1">
      <alignment horizontal="center"/>
    </xf>
    <xf numFmtId="0" fontId="0" fillId="5" borderId="129" xfId="0" applyFill="1" applyBorder="1" applyAlignment="1">
      <alignment horizontal="center"/>
    </xf>
    <xf numFmtId="0" fontId="1" fillId="4" borderId="108" xfId="0" applyFont="1" applyFill="1" applyBorder="1" applyAlignment="1">
      <alignment horizontal="center"/>
    </xf>
    <xf numFmtId="0" fontId="0" fillId="5" borderId="13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0" fillId="5" borderId="131" xfId="0" applyFill="1" applyBorder="1" applyAlignment="1">
      <alignment horizontal="center"/>
    </xf>
    <xf numFmtId="0" fontId="1" fillId="5" borderId="132" xfId="0" applyFont="1" applyFill="1" applyBorder="1" applyAlignment="1">
      <alignment horizontal="center"/>
    </xf>
    <xf numFmtId="0" fontId="1" fillId="5" borderId="133" xfId="0" applyFont="1" applyFill="1" applyBorder="1" applyAlignment="1">
      <alignment horizontal="center"/>
    </xf>
    <xf numFmtId="0" fontId="1" fillId="5" borderId="134" xfId="0" applyFont="1" applyFill="1" applyBorder="1" applyAlignment="1">
      <alignment horizontal="center"/>
    </xf>
    <xf numFmtId="0" fontId="1" fillId="5" borderId="135" xfId="0" applyFont="1" applyFill="1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1" fillId="3" borderId="8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165" fontId="1" fillId="3" borderId="32" xfId="15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165" fontId="1" fillId="3" borderId="38" xfId="15" applyNumberFormat="1" applyFont="1" applyFill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9" fontId="1" fillId="0" borderId="104" xfId="21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36" xfId="0" applyFont="1" applyBorder="1" applyAlignment="1">
      <alignment/>
    </xf>
    <xf numFmtId="0" fontId="1" fillId="0" borderId="103" xfId="0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132" xfId="0" applyFont="1" applyBorder="1" applyAlignment="1">
      <alignment horizontal="center"/>
    </xf>
    <xf numFmtId="0" fontId="1" fillId="3" borderId="132" xfId="0" applyFont="1" applyFill="1" applyBorder="1" applyAlignment="1">
      <alignment horizontal="center"/>
    </xf>
    <xf numFmtId="0" fontId="1" fillId="3" borderId="133" xfId="0" applyFont="1" applyFill="1" applyBorder="1" applyAlignment="1">
      <alignment horizontal="center"/>
    </xf>
    <xf numFmtId="0" fontId="1" fillId="3" borderId="117" xfId="0" applyFont="1" applyFill="1" applyBorder="1" applyAlignment="1">
      <alignment horizontal="center"/>
    </xf>
    <xf numFmtId="0" fontId="1" fillId="3" borderId="134" xfId="0" applyFont="1" applyFill="1" applyBorder="1" applyAlignment="1">
      <alignment horizontal="center"/>
    </xf>
    <xf numFmtId="0" fontId="1" fillId="3" borderId="135" xfId="0" applyFont="1" applyFill="1" applyBorder="1" applyAlignment="1">
      <alignment horizontal="center"/>
    </xf>
    <xf numFmtId="0" fontId="1" fillId="2" borderId="135" xfId="0" applyFont="1" applyFill="1" applyBorder="1" applyAlignment="1">
      <alignment/>
    </xf>
    <xf numFmtId="0" fontId="1" fillId="2" borderId="117" xfId="0" applyFont="1" applyFill="1" applyBorder="1" applyAlignment="1">
      <alignment/>
    </xf>
    <xf numFmtId="0" fontId="1" fillId="2" borderId="87" xfId="0" applyFont="1" applyFill="1" applyBorder="1" applyAlignment="1">
      <alignment/>
    </xf>
    <xf numFmtId="0" fontId="1" fillId="2" borderId="28" xfId="0" applyFont="1" applyFill="1" applyBorder="1" applyAlignment="1">
      <alignment horizontal="center"/>
    </xf>
    <xf numFmtId="0" fontId="1" fillId="5" borderId="52" xfId="0" applyFont="1" applyFill="1" applyBorder="1" applyAlignment="1">
      <alignment horizontal="center"/>
    </xf>
    <xf numFmtId="0" fontId="1" fillId="5" borderId="53" xfId="0" applyFont="1" applyFill="1" applyBorder="1" applyAlignment="1">
      <alignment horizontal="center"/>
    </xf>
    <xf numFmtId="0" fontId="1" fillId="5" borderId="81" xfId="0" applyFont="1" applyFill="1" applyBorder="1" applyAlignment="1">
      <alignment horizontal="center"/>
    </xf>
    <xf numFmtId="165" fontId="1" fillId="5" borderId="53" xfId="15" applyNumberFormat="1" applyFont="1" applyFill="1" applyBorder="1" applyAlignment="1">
      <alignment horizontal="center"/>
    </xf>
    <xf numFmtId="0" fontId="1" fillId="3" borderId="137" xfId="0" applyFont="1" applyFill="1" applyBorder="1" applyAlignment="1">
      <alignment horizontal="center"/>
    </xf>
    <xf numFmtId="173" fontId="1" fillId="3" borderId="138" xfId="0" applyNumberFormat="1" applyFont="1" applyFill="1" applyBorder="1" applyAlignment="1">
      <alignment horizontal="center"/>
    </xf>
    <xf numFmtId="173" fontId="1" fillId="3" borderId="39" xfId="0" applyNumberFormat="1" applyFont="1" applyFill="1" applyBorder="1" applyAlignment="1">
      <alignment horizontal="center"/>
    </xf>
    <xf numFmtId="1" fontId="1" fillId="3" borderId="39" xfId="0" applyNumberFormat="1" applyFont="1" applyFill="1" applyBorder="1" applyAlignment="1">
      <alignment horizontal="center"/>
    </xf>
    <xf numFmtId="0" fontId="1" fillId="5" borderId="86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173" fontId="1" fillId="5" borderId="100" xfId="0" applyNumberFormat="1" applyFont="1" applyFill="1" applyBorder="1" applyAlignment="1">
      <alignment horizontal="center"/>
    </xf>
    <xf numFmtId="173" fontId="1" fillId="5" borderId="26" xfId="0" applyNumberFormat="1" applyFont="1" applyFill="1" applyBorder="1" applyAlignment="1">
      <alignment horizontal="center"/>
    </xf>
    <xf numFmtId="1" fontId="1" fillId="5" borderId="26" xfId="0" applyNumberFormat="1" applyFont="1" applyFill="1" applyBorder="1" applyAlignment="1">
      <alignment horizontal="center"/>
    </xf>
    <xf numFmtId="165" fontId="1" fillId="5" borderId="34" xfId="15" applyNumberFormat="1" applyFont="1" applyFill="1" applyBorder="1" applyAlignment="1">
      <alignment horizontal="center"/>
    </xf>
    <xf numFmtId="0" fontId="2" fillId="5" borderId="135" xfId="0" applyFont="1" applyFill="1" applyBorder="1" applyAlignment="1">
      <alignment horizontal="center"/>
    </xf>
    <xf numFmtId="0" fontId="0" fillId="5" borderId="22" xfId="0" applyFill="1" applyBorder="1" applyAlignment="1">
      <alignment/>
    </xf>
    <xf numFmtId="0" fontId="1" fillId="5" borderId="22" xfId="0" applyFont="1" applyFill="1" applyBorder="1" applyAlignment="1">
      <alignment/>
    </xf>
    <xf numFmtId="0" fontId="1" fillId="5" borderId="23" xfId="0" applyFont="1" applyFill="1" applyBorder="1" applyAlignment="1">
      <alignment/>
    </xf>
    <xf numFmtId="0" fontId="0" fillId="4" borderId="26" xfId="0" applyFont="1" applyFill="1" applyBorder="1" applyAlignment="1">
      <alignment horizontal="center"/>
    </xf>
    <xf numFmtId="0" fontId="0" fillId="4" borderId="26" xfId="0" applyFill="1" applyBorder="1" applyAlignment="1">
      <alignment/>
    </xf>
    <xf numFmtId="0" fontId="0" fillId="4" borderId="25" xfId="0" applyFill="1" applyBorder="1" applyAlignment="1">
      <alignment/>
    </xf>
    <xf numFmtId="0" fontId="0" fillId="5" borderId="117" xfId="0" applyFill="1" applyBorder="1" applyAlignment="1">
      <alignment/>
    </xf>
    <xf numFmtId="0" fontId="0" fillId="5" borderId="87" xfId="0" applyFill="1" applyBorder="1" applyAlignment="1">
      <alignment/>
    </xf>
    <xf numFmtId="0" fontId="1" fillId="0" borderId="139" xfId="0" applyFont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4" borderId="4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5" borderId="140" xfId="0" applyFont="1" applyFill="1" applyBorder="1" applyAlignment="1">
      <alignment horizontal="center"/>
    </xf>
    <xf numFmtId="0" fontId="1" fillId="5" borderId="141" xfId="0" applyFont="1" applyFill="1" applyBorder="1" applyAlignment="1">
      <alignment horizontal="center"/>
    </xf>
    <xf numFmtId="0" fontId="1" fillId="5" borderId="140" xfId="0" applyFont="1" applyFill="1" applyBorder="1" applyAlignment="1">
      <alignment horizontal="center"/>
    </xf>
    <xf numFmtId="0" fontId="1" fillId="5" borderId="142" xfId="0" applyFont="1" applyFill="1" applyBorder="1" applyAlignment="1">
      <alignment horizontal="center"/>
    </xf>
    <xf numFmtId="0" fontId="1" fillId="5" borderId="143" xfId="0" applyFont="1" applyFill="1" applyBorder="1" applyAlignment="1">
      <alignment horizontal="center"/>
    </xf>
    <xf numFmtId="0" fontId="1" fillId="10" borderId="144" xfId="0" applyFont="1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1" fillId="10" borderId="145" xfId="0" applyFont="1" applyFill="1" applyBorder="1" applyAlignment="1">
      <alignment horizontal="center"/>
    </xf>
    <xf numFmtId="0" fontId="0" fillId="10" borderId="108" xfId="0" applyFill="1" applyBorder="1" applyAlignment="1">
      <alignment horizontal="center"/>
    </xf>
    <xf numFmtId="0" fontId="0" fillId="10" borderId="146" xfId="0" applyFill="1" applyBorder="1" applyAlignment="1">
      <alignment horizontal="center"/>
    </xf>
    <xf numFmtId="0" fontId="1" fillId="10" borderId="146" xfId="0" applyFont="1" applyFill="1" applyBorder="1" applyAlignment="1">
      <alignment horizontal="center"/>
    </xf>
    <xf numFmtId="0" fontId="0" fillId="10" borderId="109" xfId="0" applyFill="1" applyBorder="1" applyAlignment="1">
      <alignment horizontal="center"/>
    </xf>
    <xf numFmtId="0" fontId="1" fillId="10" borderId="147" xfId="0" applyFont="1" applyFill="1" applyBorder="1" applyAlignment="1">
      <alignment horizontal="center"/>
    </xf>
    <xf numFmtId="0" fontId="0" fillId="10" borderId="148" xfId="0" applyFill="1" applyBorder="1" applyAlignment="1">
      <alignment horizontal="center"/>
    </xf>
    <xf numFmtId="0" fontId="0" fillId="4" borderId="144" xfId="0" applyFont="1" applyFill="1" applyBorder="1" applyAlignment="1">
      <alignment horizontal="center"/>
    </xf>
    <xf numFmtId="0" fontId="0" fillId="4" borderId="145" xfId="0" applyFont="1" applyFill="1" applyBorder="1" applyAlignment="1">
      <alignment horizontal="center"/>
    </xf>
    <xf numFmtId="0" fontId="0" fillId="4" borderId="146" xfId="0" applyFont="1" applyFill="1" applyBorder="1" applyAlignment="1">
      <alignment horizontal="center"/>
    </xf>
    <xf numFmtId="0" fontId="0" fillId="4" borderId="147" xfId="0" applyFont="1" applyFill="1" applyBorder="1" applyAlignment="1">
      <alignment horizontal="center"/>
    </xf>
    <xf numFmtId="0" fontId="1" fillId="0" borderId="149" xfId="0" applyFont="1" applyBorder="1" applyAlignment="1">
      <alignment horizontal="center"/>
    </xf>
    <xf numFmtId="0" fontId="1" fillId="5" borderId="150" xfId="0" applyFont="1" applyFill="1" applyBorder="1" applyAlignment="1">
      <alignment horizontal="center"/>
    </xf>
    <xf numFmtId="0" fontId="1" fillId="5" borderId="151" xfId="0" applyFont="1" applyFill="1" applyBorder="1" applyAlignment="1">
      <alignment horizontal="center"/>
    </xf>
    <xf numFmtId="0" fontId="0" fillId="11" borderId="152" xfId="0" applyFont="1" applyFill="1" applyBorder="1" applyAlignment="1">
      <alignment horizontal="center"/>
    </xf>
    <xf numFmtId="0" fontId="1" fillId="11" borderId="153" xfId="0" applyFont="1" applyFill="1" applyBorder="1" applyAlignment="1">
      <alignment horizontal="center"/>
    </xf>
    <xf numFmtId="0" fontId="0" fillId="11" borderId="154" xfId="0" applyFill="1" applyBorder="1" applyAlignment="1">
      <alignment horizontal="center"/>
    </xf>
    <xf numFmtId="0" fontId="0" fillId="5" borderId="12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165" fontId="1" fillId="0" borderId="155" xfId="15" applyNumberFormat="1" applyFont="1" applyFill="1" applyBorder="1" applyAlignment="1">
      <alignment horizontal="center"/>
    </xf>
    <xf numFmtId="9" fontId="1" fillId="5" borderId="46" xfId="0" applyNumberFormat="1" applyFont="1" applyFill="1" applyBorder="1" applyAlignment="1">
      <alignment horizontal="center"/>
    </xf>
    <xf numFmtId="1" fontId="0" fillId="2" borderId="22" xfId="0" applyNumberFormat="1" applyFill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3" fontId="1" fillId="2" borderId="66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19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43" fontId="0" fillId="8" borderId="22" xfId="0" applyNumberFormat="1" applyFill="1" applyBorder="1" applyAlignment="1">
      <alignment horizontal="center"/>
    </xf>
    <xf numFmtId="0" fontId="1" fillId="0" borderId="99" xfId="0" applyFont="1" applyBorder="1" applyAlignment="1">
      <alignment horizontal="right"/>
    </xf>
    <xf numFmtId="0" fontId="1" fillId="9" borderId="126" xfId="0" applyFont="1" applyFill="1" applyBorder="1" applyAlignment="1">
      <alignment horizontal="right"/>
    </xf>
    <xf numFmtId="0" fontId="1" fillId="9" borderId="156" xfId="0" applyFont="1" applyFill="1" applyBorder="1" applyAlignment="1">
      <alignment horizontal="right"/>
    </xf>
    <xf numFmtId="3" fontId="0" fillId="9" borderId="81" xfId="0" applyNumberFormat="1" applyFill="1" applyBorder="1" applyAlignment="1">
      <alignment horizontal="center"/>
    </xf>
    <xf numFmtId="3" fontId="0" fillId="9" borderId="73" xfId="0" applyNumberFormat="1" applyFill="1" applyBorder="1" applyAlignment="1">
      <alignment horizontal="center"/>
    </xf>
    <xf numFmtId="3" fontId="0" fillId="9" borderId="74" xfId="0" applyNumberFormat="1" applyFill="1" applyBorder="1" applyAlignment="1">
      <alignment horizontal="center"/>
    </xf>
    <xf numFmtId="3" fontId="0" fillId="9" borderId="64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5" fontId="0" fillId="2" borderId="28" xfId="0" applyNumberFormat="1" applyFont="1" applyFill="1" applyBorder="1" applyAlignment="1">
      <alignment/>
    </xf>
    <xf numFmtId="165" fontId="0" fillId="2" borderId="22" xfId="0" applyNumberFormat="1" applyFont="1" applyFill="1" applyBorder="1" applyAlignment="1">
      <alignment/>
    </xf>
    <xf numFmtId="165" fontId="0" fillId="2" borderId="73" xfId="0" applyNumberFormat="1" applyFont="1" applyFill="1" applyBorder="1" applyAlignment="1">
      <alignment/>
    </xf>
    <xf numFmtId="165" fontId="0" fillId="2" borderId="58" xfId="0" applyNumberFormat="1" applyFont="1" applyFill="1" applyBorder="1" applyAlignment="1">
      <alignment/>
    </xf>
    <xf numFmtId="165" fontId="0" fillId="2" borderId="23" xfId="0" applyNumberFormat="1" applyFont="1" applyFill="1" applyBorder="1" applyAlignment="1">
      <alignment/>
    </xf>
    <xf numFmtId="165" fontId="0" fillId="2" borderId="75" xfId="0" applyNumberFormat="1" applyFont="1" applyFill="1" applyBorder="1" applyAlignment="1">
      <alignment/>
    </xf>
    <xf numFmtId="165" fontId="0" fillId="2" borderId="74" xfId="0" applyNumberFormat="1" applyFont="1" applyFill="1" applyBorder="1" applyAlignment="1">
      <alignment/>
    </xf>
    <xf numFmtId="165" fontId="0" fillId="2" borderId="138" xfId="0" applyNumberFormat="1" applyFont="1" applyFill="1" applyBorder="1" applyAlignment="1">
      <alignment/>
    </xf>
    <xf numFmtId="165" fontId="0" fillId="2" borderId="39" xfId="0" applyNumberFormat="1" applyFont="1" applyFill="1" applyBorder="1" applyAlignment="1">
      <alignment/>
    </xf>
    <xf numFmtId="165" fontId="0" fillId="2" borderId="56" xfId="0" applyNumberFormat="1" applyFont="1" applyFill="1" applyBorder="1" applyAlignment="1">
      <alignment/>
    </xf>
    <xf numFmtId="165" fontId="0" fillId="5" borderId="100" xfId="0" applyNumberFormat="1" applyFont="1" applyFill="1" applyBorder="1" applyAlignment="1">
      <alignment/>
    </xf>
    <xf numFmtId="165" fontId="0" fillId="5" borderId="26" xfId="0" applyNumberFormat="1" applyFont="1" applyFill="1" applyBorder="1" applyAlignment="1">
      <alignment/>
    </xf>
    <xf numFmtId="165" fontId="0" fillId="5" borderId="25" xfId="0" applyNumberFormat="1" applyFont="1" applyFill="1" applyBorder="1" applyAlignment="1">
      <alignment/>
    </xf>
    <xf numFmtId="165" fontId="0" fillId="5" borderId="135" xfId="0" applyNumberFormat="1" applyFont="1" applyFill="1" applyBorder="1" applyAlignment="1">
      <alignment/>
    </xf>
    <xf numFmtId="165" fontId="0" fillId="5" borderId="117" xfId="0" applyNumberFormat="1" applyFont="1" applyFill="1" applyBorder="1" applyAlignment="1">
      <alignment/>
    </xf>
    <xf numFmtId="165" fontId="0" fillId="5" borderId="87" xfId="0" applyNumberFormat="1" applyFont="1" applyFill="1" applyBorder="1" applyAlignment="1">
      <alignment/>
    </xf>
    <xf numFmtId="165" fontId="0" fillId="2" borderId="58" xfId="15" applyNumberFormat="1" applyFont="1" applyFill="1" applyBorder="1" applyAlignment="1">
      <alignment/>
    </xf>
    <xf numFmtId="165" fontId="0" fillId="2" borderId="62" xfId="15" applyNumberFormat="1" applyFont="1" applyFill="1" applyBorder="1" applyAlignment="1">
      <alignment/>
    </xf>
    <xf numFmtId="165" fontId="0" fillId="2" borderId="45" xfId="0" applyNumberFormat="1" applyFont="1" applyFill="1" applyBorder="1" applyAlignment="1">
      <alignment/>
    </xf>
    <xf numFmtId="165" fontId="0" fillId="2" borderId="55" xfId="0" applyNumberFormat="1" applyFont="1" applyFill="1" applyBorder="1" applyAlignment="1">
      <alignment/>
    </xf>
    <xf numFmtId="165" fontId="0" fillId="2" borderId="49" xfId="0" applyNumberFormat="1" applyFont="1" applyFill="1" applyBorder="1" applyAlignment="1">
      <alignment/>
    </xf>
    <xf numFmtId="165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5" fontId="0" fillId="5" borderId="58" xfId="0" applyNumberFormat="1" applyFont="1" applyFill="1" applyBorder="1" applyAlignment="1">
      <alignment/>
    </xf>
    <xf numFmtId="165" fontId="0" fillId="5" borderId="22" xfId="0" applyNumberFormat="1" applyFont="1" applyFill="1" applyBorder="1" applyAlignment="1">
      <alignment/>
    </xf>
    <xf numFmtId="165" fontId="0" fillId="5" borderId="23" xfId="0" applyNumberFormat="1" applyFont="1" applyFill="1" applyBorder="1" applyAlignment="1">
      <alignment/>
    </xf>
    <xf numFmtId="165" fontId="0" fillId="5" borderId="75" xfId="0" applyNumberFormat="1" applyFont="1" applyFill="1" applyBorder="1" applyAlignment="1">
      <alignment/>
    </xf>
    <xf numFmtId="165" fontId="0" fillId="5" borderId="73" xfId="0" applyNumberFormat="1" applyFont="1" applyFill="1" applyBorder="1" applyAlignment="1">
      <alignment/>
    </xf>
    <xf numFmtId="165" fontId="0" fillId="5" borderId="74" xfId="0" applyNumberFormat="1" applyFont="1" applyFill="1" applyBorder="1" applyAlignment="1">
      <alignment/>
    </xf>
    <xf numFmtId="165" fontId="0" fillId="2" borderId="27" xfId="0" applyNumberFormat="1" applyFont="1" applyFill="1" applyBorder="1" applyAlignment="1">
      <alignment/>
    </xf>
    <xf numFmtId="165" fontId="0" fillId="2" borderId="81" xfId="0" applyNumberFormat="1" applyFont="1" applyFill="1" applyBorder="1" applyAlignment="1">
      <alignment/>
    </xf>
    <xf numFmtId="165" fontId="0" fillId="2" borderId="30" xfId="0" applyNumberFormat="1" applyFont="1" applyFill="1" applyBorder="1" applyAlignment="1">
      <alignment/>
    </xf>
    <xf numFmtId="165" fontId="0" fillId="2" borderId="46" xfId="0" applyNumberFormat="1" applyFont="1" applyFill="1" applyBorder="1" applyAlignment="1">
      <alignment/>
    </xf>
    <xf numFmtId="165" fontId="0" fillId="2" borderId="71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1" fillId="0" borderId="84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1" fillId="0" borderId="129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2" fillId="0" borderId="71" xfId="0" applyFont="1" applyFill="1" applyBorder="1" applyAlignment="1">
      <alignment horizontal="center"/>
    </xf>
    <xf numFmtId="0" fontId="11" fillId="0" borderId="149" xfId="0" applyFont="1" applyFill="1" applyBorder="1" applyAlignment="1">
      <alignment horizontal="center"/>
    </xf>
    <xf numFmtId="0" fontId="12" fillId="0" borderId="70" xfId="0" applyFont="1" applyFill="1" applyBorder="1" applyAlignment="1">
      <alignment horizontal="center"/>
    </xf>
    <xf numFmtId="0" fontId="12" fillId="0" borderId="114" xfId="0" applyFont="1" applyFill="1" applyBorder="1" applyAlignment="1">
      <alignment horizontal="center"/>
    </xf>
    <xf numFmtId="0" fontId="12" fillId="0" borderId="80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2" fillId="0" borderId="96" xfId="0" applyFont="1" applyFill="1" applyBorder="1" applyAlignment="1">
      <alignment horizontal="center"/>
    </xf>
    <xf numFmtId="0" fontId="12" fillId="0" borderId="57" xfId="0" applyFont="1" applyFill="1" applyBorder="1" applyAlignment="1">
      <alignment horizontal="center"/>
    </xf>
    <xf numFmtId="0" fontId="12" fillId="0" borderId="118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165" fontId="11" fillId="0" borderId="30" xfId="15" applyNumberFormat="1" applyFont="1" applyFill="1" applyBorder="1" applyAlignment="1">
      <alignment horizontal="center"/>
    </xf>
    <xf numFmtId="165" fontId="11" fillId="0" borderId="46" xfId="15" applyNumberFormat="1" applyFont="1" applyFill="1" applyBorder="1" applyAlignment="1">
      <alignment horizontal="center"/>
    </xf>
    <xf numFmtId="165" fontId="11" fillId="0" borderId="71" xfId="15" applyNumberFormat="1" applyFont="1" applyFill="1" applyBorder="1" applyAlignment="1">
      <alignment horizontal="center"/>
    </xf>
    <xf numFmtId="0" fontId="12" fillId="0" borderId="157" xfId="0" applyFont="1" applyFill="1" applyBorder="1" applyAlignment="1">
      <alignment horizontal="center"/>
    </xf>
    <xf numFmtId="165" fontId="11" fillId="0" borderId="137" xfId="15" applyNumberFormat="1" applyFont="1" applyFill="1" applyBorder="1" applyAlignment="1">
      <alignment horizontal="center"/>
    </xf>
    <xf numFmtId="165" fontId="11" fillId="0" borderId="39" xfId="15" applyNumberFormat="1" applyFont="1" applyFill="1" applyBorder="1" applyAlignment="1">
      <alignment horizontal="center"/>
    </xf>
    <xf numFmtId="165" fontId="11" fillId="0" borderId="56" xfId="15" applyNumberFormat="1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165" fontId="11" fillId="0" borderId="28" xfId="15" applyNumberFormat="1" applyFont="1" applyFill="1" applyBorder="1" applyAlignment="1">
      <alignment horizontal="center"/>
    </xf>
    <xf numFmtId="165" fontId="11" fillId="0" borderId="22" xfId="15" applyNumberFormat="1" applyFont="1" applyFill="1" applyBorder="1" applyAlignment="1">
      <alignment horizontal="center"/>
    </xf>
    <xf numFmtId="165" fontId="11" fillId="0" borderId="23" xfId="15" applyNumberFormat="1" applyFont="1" applyFill="1" applyBorder="1" applyAlignment="1">
      <alignment horizontal="center"/>
    </xf>
    <xf numFmtId="165" fontId="11" fillId="0" borderId="28" xfId="15" applyNumberFormat="1" applyFont="1" applyFill="1" applyBorder="1" applyAlignment="1" quotePrefix="1">
      <alignment horizontal="center"/>
    </xf>
    <xf numFmtId="165" fontId="11" fillId="0" borderId="22" xfId="15" applyNumberFormat="1" applyFont="1" applyFill="1" applyBorder="1" applyAlignment="1" quotePrefix="1">
      <alignment horizontal="center"/>
    </xf>
    <xf numFmtId="9" fontId="11" fillId="0" borderId="0" xfId="21" applyFont="1" applyAlignment="1">
      <alignment horizontal="center"/>
    </xf>
    <xf numFmtId="0" fontId="12" fillId="0" borderId="126" xfId="0" applyFont="1" applyFill="1" applyBorder="1" applyAlignment="1">
      <alignment horizontal="center"/>
    </xf>
    <xf numFmtId="165" fontId="11" fillId="0" borderId="81" xfId="15" applyNumberFormat="1" applyFont="1" applyFill="1" applyBorder="1" applyAlignment="1" quotePrefix="1">
      <alignment horizontal="center"/>
    </xf>
    <xf numFmtId="165" fontId="11" fillId="0" borderId="73" xfId="15" applyNumberFormat="1" applyFont="1" applyFill="1" applyBorder="1" applyAlignment="1">
      <alignment horizontal="center"/>
    </xf>
    <xf numFmtId="165" fontId="11" fillId="0" borderId="74" xfId="15" applyNumberFormat="1" applyFont="1" applyFill="1" applyBorder="1" applyAlignment="1">
      <alignment horizontal="center"/>
    </xf>
    <xf numFmtId="0" fontId="11" fillId="0" borderId="131" xfId="0" applyFont="1" applyFill="1" applyBorder="1" applyAlignment="1">
      <alignment horizontal="center"/>
    </xf>
    <xf numFmtId="165" fontId="11" fillId="0" borderId="96" xfId="15" applyNumberFormat="1" applyFont="1" applyFill="1" applyBorder="1" applyAlignment="1">
      <alignment horizontal="center"/>
    </xf>
    <xf numFmtId="165" fontId="11" fillId="0" borderId="57" xfId="15" applyNumberFormat="1" applyFont="1" applyFill="1" applyBorder="1" applyAlignment="1">
      <alignment horizontal="center"/>
    </xf>
    <xf numFmtId="165" fontId="11" fillId="0" borderId="118" xfId="15" applyNumberFormat="1" applyFont="1" applyFill="1" applyBorder="1" applyAlignment="1">
      <alignment horizontal="center"/>
    </xf>
    <xf numFmtId="0" fontId="12" fillId="0" borderId="129" xfId="0" applyFont="1" applyFill="1" applyBorder="1" applyAlignment="1">
      <alignment horizontal="center"/>
    </xf>
    <xf numFmtId="165" fontId="11" fillId="0" borderId="58" xfId="15" applyNumberFormat="1" applyFont="1" applyFill="1" applyBorder="1" applyAlignment="1">
      <alignment horizontal="center"/>
    </xf>
    <xf numFmtId="0" fontId="11" fillId="0" borderId="158" xfId="0" applyFont="1" applyFill="1" applyBorder="1" applyAlignment="1">
      <alignment horizontal="center"/>
    </xf>
    <xf numFmtId="165" fontId="12" fillId="0" borderId="59" xfId="15" applyNumberFormat="1" applyFont="1" applyFill="1" applyBorder="1" applyAlignment="1">
      <alignment horizontal="center"/>
    </xf>
    <xf numFmtId="165" fontId="12" fillId="0" borderId="45" xfId="15" applyNumberFormat="1" applyFont="1" applyFill="1" applyBorder="1" applyAlignment="1">
      <alignment horizontal="center"/>
    </xf>
    <xf numFmtId="165" fontId="12" fillId="0" borderId="55" xfId="15" applyNumberFormat="1" applyFont="1" applyFill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185" fontId="11" fillId="0" borderId="0" xfId="0" applyNumberFormat="1" applyFont="1" applyAlignment="1">
      <alignment horizontal="center"/>
    </xf>
    <xf numFmtId="0" fontId="12" fillId="0" borderId="149" xfId="0" applyFont="1" applyFill="1" applyBorder="1" applyAlignment="1">
      <alignment horizontal="center"/>
    </xf>
    <xf numFmtId="165" fontId="12" fillId="0" borderId="70" xfId="15" applyNumberFormat="1" applyFont="1" applyFill="1" applyBorder="1" applyAlignment="1">
      <alignment horizontal="center"/>
    </xf>
    <xf numFmtId="165" fontId="12" fillId="0" borderId="114" xfId="15" applyNumberFormat="1" applyFont="1" applyFill="1" applyBorder="1" applyAlignment="1">
      <alignment horizontal="center"/>
    </xf>
    <xf numFmtId="165" fontId="12" fillId="0" borderId="80" xfId="15" applyNumberFormat="1" applyFont="1" applyFill="1" applyBorder="1" applyAlignment="1">
      <alignment horizontal="center"/>
    </xf>
    <xf numFmtId="0" fontId="12" fillId="0" borderId="156" xfId="0" applyFont="1" applyFill="1" applyBorder="1" applyAlignment="1">
      <alignment horizontal="center"/>
    </xf>
    <xf numFmtId="165" fontId="12" fillId="0" borderId="64" xfId="15" applyNumberFormat="1" applyFont="1" applyFill="1" applyBorder="1" applyAlignment="1">
      <alignment horizontal="center"/>
    </xf>
    <xf numFmtId="165" fontId="12" fillId="0" borderId="66" xfId="15" applyNumberFormat="1" applyFont="1" applyFill="1" applyBorder="1" applyAlignment="1">
      <alignment horizontal="center"/>
    </xf>
    <xf numFmtId="165" fontId="12" fillId="0" borderId="69" xfId="15" applyNumberFormat="1" applyFont="1" applyFill="1" applyBorder="1" applyAlignment="1">
      <alignment horizontal="center"/>
    </xf>
    <xf numFmtId="9" fontId="11" fillId="0" borderId="46" xfId="21" applyFont="1" applyFill="1" applyBorder="1" applyAlignment="1">
      <alignment horizontal="center"/>
    </xf>
    <xf numFmtId="9" fontId="11" fillId="0" borderId="71" xfId="21" applyFont="1" applyFill="1" applyBorder="1" applyAlignment="1">
      <alignment horizontal="center"/>
    </xf>
    <xf numFmtId="43" fontId="1" fillId="0" borderId="0" xfId="15" applyFont="1" applyAlignment="1">
      <alignment horizontal="center"/>
    </xf>
    <xf numFmtId="165" fontId="11" fillId="0" borderId="0" xfId="15" applyNumberFormat="1" applyFont="1" applyAlignment="1">
      <alignment horizontal="center"/>
    </xf>
    <xf numFmtId="3" fontId="0" fillId="2" borderId="108" xfId="0" applyNumberFormat="1" applyFont="1" applyFill="1" applyBorder="1" applyAlignment="1">
      <alignment horizontal="center"/>
    </xf>
    <xf numFmtId="173" fontId="1" fillId="5" borderId="34" xfId="21" applyNumberFormat="1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/>
    </xf>
    <xf numFmtId="0" fontId="10" fillId="5" borderId="27" xfId="0" applyFont="1" applyFill="1" applyBorder="1" applyAlignment="1">
      <alignment horizontal="right"/>
    </xf>
    <xf numFmtId="0" fontId="1" fillId="4" borderId="159" xfId="0" applyFont="1" applyFill="1" applyBorder="1" applyAlignment="1">
      <alignment horizontal="center"/>
    </xf>
    <xf numFmtId="3" fontId="1" fillId="3" borderId="36" xfId="0" applyNumberFormat="1" applyFont="1" applyFill="1" applyBorder="1" applyAlignment="1">
      <alignment horizontal="center"/>
    </xf>
    <xf numFmtId="3" fontId="1" fillId="3" borderId="159" xfId="0" applyNumberFormat="1" applyFont="1" applyFill="1" applyBorder="1" applyAlignment="1">
      <alignment horizontal="center"/>
    </xf>
    <xf numFmtId="2" fontId="1" fillId="2" borderId="86" xfId="0" applyNumberFormat="1" applyFont="1" applyFill="1" applyBorder="1" applyAlignment="1">
      <alignment horizontal="center"/>
    </xf>
    <xf numFmtId="0" fontId="1" fillId="5" borderId="29" xfId="0" applyFont="1" applyFill="1" applyBorder="1" applyAlignment="1">
      <alignment horizontal="right"/>
    </xf>
    <xf numFmtId="0" fontId="1" fillId="0" borderId="57" xfId="0" applyFont="1" applyBorder="1" applyAlignment="1">
      <alignment horizontal="right"/>
    </xf>
    <xf numFmtId="0" fontId="2" fillId="5" borderId="0" xfId="0" applyFont="1" applyFill="1" applyAlignment="1">
      <alignment horizontal="center"/>
    </xf>
    <xf numFmtId="0" fontId="2" fillId="5" borderId="12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83" xfId="0" applyFont="1" applyFill="1" applyBorder="1" applyAlignment="1">
      <alignment horizontal="center"/>
    </xf>
    <xf numFmtId="0" fontId="1" fillId="0" borderId="89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52" xfId="0" applyNumberFormat="1" applyFont="1" applyBorder="1" applyAlignment="1">
      <alignment horizontal="center"/>
    </xf>
    <xf numFmtId="3" fontId="1" fillId="0" borderId="63" xfId="0" applyNumberFormat="1" applyFont="1" applyBorder="1" applyAlignment="1">
      <alignment horizontal="center"/>
    </xf>
    <xf numFmtId="0" fontId="1" fillId="5" borderId="160" xfId="0" applyFont="1" applyFill="1" applyBorder="1" applyAlignment="1">
      <alignment horizontal="center"/>
    </xf>
    <xf numFmtId="0" fontId="1" fillId="3" borderId="51" xfId="0" applyFont="1" applyFill="1" applyBorder="1" applyAlignment="1">
      <alignment horizontal="center"/>
    </xf>
    <xf numFmtId="0" fontId="1" fillId="3" borderId="109" xfId="0" applyFont="1" applyFill="1" applyBorder="1" applyAlignment="1">
      <alignment horizontal="center"/>
    </xf>
    <xf numFmtId="0" fontId="1" fillId="5" borderId="160" xfId="0" applyFont="1" applyFill="1" applyBorder="1" applyAlignment="1">
      <alignment horizontal="left"/>
    </xf>
    <xf numFmtId="0" fontId="1" fillId="5" borderId="66" xfId="0" applyFont="1" applyFill="1" applyBorder="1" applyAlignment="1">
      <alignment horizontal="center"/>
    </xf>
    <xf numFmtId="0" fontId="1" fillId="0" borderId="66" xfId="0" applyFont="1" applyBorder="1" applyAlignment="1">
      <alignment horizontal="center"/>
    </xf>
    <xf numFmtId="4" fontId="1" fillId="0" borderId="69" xfId="0" applyNumberFormat="1" applyFont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8" borderId="22" xfId="0" applyNumberFormat="1" applyFill="1" applyBorder="1" applyAlignment="1">
      <alignment horizontal="center"/>
    </xf>
    <xf numFmtId="0" fontId="12" fillId="0" borderId="158" xfId="0" applyFont="1" applyFill="1" applyBorder="1" applyAlignment="1">
      <alignment horizontal="center"/>
    </xf>
    <xf numFmtId="165" fontId="11" fillId="0" borderId="59" xfId="15" applyNumberFormat="1" applyFont="1" applyFill="1" applyBorder="1" applyAlignment="1" quotePrefix="1">
      <alignment horizontal="center"/>
    </xf>
    <xf numFmtId="165" fontId="11" fillId="0" borderId="45" xfId="15" applyNumberFormat="1" applyFont="1" applyFill="1" applyBorder="1" applyAlignment="1" quotePrefix="1">
      <alignment horizontal="center"/>
    </xf>
    <xf numFmtId="165" fontId="11" fillId="0" borderId="45" xfId="15" applyNumberFormat="1" applyFont="1" applyFill="1" applyBorder="1" applyAlignment="1">
      <alignment horizontal="center"/>
    </xf>
    <xf numFmtId="165" fontId="11" fillId="0" borderId="55" xfId="15" applyNumberFormat="1" applyFont="1" applyFill="1" applyBorder="1" applyAlignment="1">
      <alignment horizontal="center"/>
    </xf>
    <xf numFmtId="165" fontId="11" fillId="0" borderId="59" xfId="15" applyNumberFormat="1" applyFont="1" applyFill="1" applyBorder="1" applyAlignment="1">
      <alignment horizontal="center"/>
    </xf>
    <xf numFmtId="165" fontId="11" fillId="0" borderId="62" xfId="15" applyNumberFormat="1" applyFont="1" applyFill="1" applyBorder="1" applyAlignment="1">
      <alignment horizontal="center"/>
    </xf>
    <xf numFmtId="0" fontId="1" fillId="2" borderId="103" xfId="0" applyFont="1" applyFill="1" applyBorder="1" applyAlignment="1">
      <alignment horizontal="center"/>
    </xf>
    <xf numFmtId="0" fontId="1" fillId="2" borderId="104" xfId="0" applyFont="1" applyFill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152" xfId="0" applyFon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2" fontId="0" fillId="2" borderId="52" xfId="0" applyNumberFormat="1" applyFont="1" applyFill="1" applyBorder="1" applyAlignment="1">
      <alignment horizontal="center"/>
    </xf>
    <xf numFmtId="0" fontId="0" fillId="4" borderId="73" xfId="0" applyFont="1" applyFill="1" applyBorder="1" applyAlignment="1">
      <alignment horizontal="center"/>
    </xf>
    <xf numFmtId="0" fontId="0" fillId="4" borderId="53" xfId="0" applyFont="1" applyFill="1" applyBorder="1" applyAlignment="1">
      <alignment horizontal="center"/>
    </xf>
    <xf numFmtId="9" fontId="0" fillId="5" borderId="58" xfId="21" applyFont="1" applyFill="1" applyBorder="1" applyAlignment="1">
      <alignment horizontal="center"/>
    </xf>
    <xf numFmtId="9" fontId="0" fillId="5" borderId="23" xfId="21" applyFont="1" applyFill="1" applyBorder="1" applyAlignment="1">
      <alignment horizontal="center"/>
    </xf>
    <xf numFmtId="4" fontId="0" fillId="5" borderId="4" xfId="0" applyNumberFormat="1" applyFont="1" applyFill="1" applyBorder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5" borderId="6" xfId="0" applyFont="1" applyFill="1" applyBorder="1" applyAlignment="1">
      <alignment/>
    </xf>
    <xf numFmtId="9" fontId="0" fillId="5" borderId="22" xfId="21" applyFont="1" applyFill="1" applyBorder="1" applyAlignment="1">
      <alignment horizontal="center"/>
    </xf>
    <xf numFmtId="9" fontId="0" fillId="0" borderId="22" xfId="21" applyFont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9" fontId="0" fillId="3" borderId="45" xfId="21" applyFont="1" applyFill="1" applyBorder="1" applyAlignment="1">
      <alignment horizontal="center"/>
    </xf>
    <xf numFmtId="9" fontId="0" fillId="3" borderId="55" xfId="21" applyFont="1" applyFill="1" applyBorder="1" applyAlignment="1">
      <alignment horizontal="center"/>
    </xf>
    <xf numFmtId="0" fontId="11" fillId="0" borderId="133" xfId="0" applyFont="1" applyBorder="1" applyAlignment="1">
      <alignment horizontal="center"/>
    </xf>
    <xf numFmtId="165" fontId="11" fillId="0" borderId="29" xfId="0" applyNumberFormat="1" applyFont="1" applyBorder="1" applyAlignment="1">
      <alignment horizontal="center"/>
    </xf>
    <xf numFmtId="0" fontId="12" fillId="0" borderId="161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162" xfId="0" applyFont="1" applyFill="1" applyBorder="1" applyAlignment="1">
      <alignment horizontal="center"/>
    </xf>
    <xf numFmtId="0" fontId="12" fillId="0" borderId="94" xfId="0" applyFont="1" applyFill="1" applyBorder="1" applyAlignment="1">
      <alignment horizontal="center"/>
    </xf>
    <xf numFmtId="165" fontId="1" fillId="0" borderId="53" xfId="15" applyNumberFormat="1" applyFont="1" applyFill="1" applyBorder="1" applyAlignment="1">
      <alignment horizontal="center"/>
    </xf>
    <xf numFmtId="0" fontId="0" fillId="0" borderId="112" xfId="0" applyBorder="1" applyAlignment="1">
      <alignment/>
    </xf>
    <xf numFmtId="0" fontId="0" fillId="0" borderId="113" xfId="0" applyBorder="1" applyAlignment="1">
      <alignment/>
    </xf>
    <xf numFmtId="0" fontId="1" fillId="0" borderId="121" xfId="0" applyFont="1" applyBorder="1" applyAlignment="1">
      <alignment horizontal="center"/>
    </xf>
    <xf numFmtId="0" fontId="0" fillId="2" borderId="22" xfId="0" applyNumberFormat="1" applyFill="1" applyBorder="1" applyAlignment="1">
      <alignment horizontal="center"/>
    </xf>
    <xf numFmtId="0" fontId="1" fillId="0" borderId="163" xfId="0" applyFont="1" applyBorder="1" applyAlignment="1">
      <alignment horizontal="center"/>
    </xf>
    <xf numFmtId="9" fontId="0" fillId="3" borderId="164" xfId="21" applyFont="1" applyFill="1" applyBorder="1" applyAlignment="1">
      <alignment horizontal="center"/>
    </xf>
    <xf numFmtId="0" fontId="0" fillId="2" borderId="26" xfId="0" applyNumberFormat="1" applyFill="1" applyBorder="1" applyAlignment="1">
      <alignment horizontal="center"/>
    </xf>
    <xf numFmtId="0" fontId="0" fillId="5" borderId="165" xfId="0" applyFont="1" applyFill="1" applyBorder="1" applyAlignment="1">
      <alignment horizontal="center"/>
    </xf>
    <xf numFmtId="0" fontId="0" fillId="2" borderId="28" xfId="0" applyFont="1" applyFill="1" applyBorder="1" applyAlignment="1">
      <alignment horizontal="center"/>
    </xf>
    <xf numFmtId="3" fontId="0" fillId="3" borderId="124" xfId="0" applyNumberFormat="1" applyFont="1" applyFill="1" applyBorder="1" applyAlignment="1">
      <alignment horizontal="center"/>
    </xf>
    <xf numFmtId="0" fontId="1" fillId="0" borderId="123" xfId="0" applyFont="1" applyBorder="1" applyAlignment="1">
      <alignment horizontal="left"/>
    </xf>
    <xf numFmtId="0" fontId="1" fillId="0" borderId="79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165" fontId="1" fillId="4" borderId="46" xfId="15" applyNumberFormat="1" applyFont="1" applyFill="1" applyBorder="1" applyAlignment="1">
      <alignment horizontal="center"/>
    </xf>
    <xf numFmtId="9" fontId="1" fillId="4" borderId="38" xfId="21" applyFont="1" applyFill="1" applyBorder="1" applyAlignment="1">
      <alignment horizontal="center"/>
    </xf>
    <xf numFmtId="9" fontId="1" fillId="4" borderId="25" xfId="21" applyFont="1" applyFill="1" applyBorder="1" applyAlignment="1">
      <alignment horizontal="center"/>
    </xf>
    <xf numFmtId="9" fontId="1" fillId="4" borderId="108" xfId="21" applyFont="1" applyFill="1" applyBorder="1" applyAlignment="1">
      <alignment horizontal="center"/>
    </xf>
    <xf numFmtId="9" fontId="1" fillId="4" borderId="109" xfId="21" applyFont="1" applyFill="1" applyBorder="1" applyAlignment="1">
      <alignment horizontal="center"/>
    </xf>
    <xf numFmtId="9" fontId="0" fillId="4" borderId="25" xfId="21" applyFont="1" applyFill="1" applyBorder="1" applyAlignment="1">
      <alignment horizontal="center"/>
    </xf>
    <xf numFmtId="9" fontId="0" fillId="4" borderId="22" xfId="21" applyFill="1" applyBorder="1" applyAlignment="1">
      <alignment horizontal="center"/>
    </xf>
    <xf numFmtId="9" fontId="0" fillId="3" borderId="29" xfId="21" applyFont="1" applyFill="1" applyBorder="1" applyAlignment="1">
      <alignment horizontal="center"/>
    </xf>
    <xf numFmtId="9" fontId="0" fillId="3" borderId="166" xfId="21" applyFont="1" applyFill="1" applyBorder="1" applyAlignment="1">
      <alignment horizontal="center"/>
    </xf>
    <xf numFmtId="9" fontId="1" fillId="4" borderId="167" xfId="2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11" fillId="0" borderId="117" xfId="0" applyNumberFormat="1" applyFont="1" applyBorder="1" applyAlignment="1">
      <alignment horizontal="right"/>
    </xf>
    <xf numFmtId="3" fontId="11" fillId="0" borderId="87" xfId="0" applyNumberFormat="1" applyFont="1" applyBorder="1" applyAlignment="1">
      <alignment horizontal="right"/>
    </xf>
    <xf numFmtId="3" fontId="11" fillId="0" borderId="26" xfId="0" applyNumberFormat="1" applyFont="1" applyBorder="1" applyAlignment="1">
      <alignment horizontal="right"/>
    </xf>
    <xf numFmtId="3" fontId="11" fillId="0" borderId="25" xfId="0" applyNumberFormat="1" applyFont="1" applyBorder="1" applyAlignment="1">
      <alignment horizontal="right"/>
    </xf>
    <xf numFmtId="165" fontId="12" fillId="0" borderId="66" xfId="15" applyNumberFormat="1" applyFont="1" applyFill="1" applyBorder="1" applyAlignment="1">
      <alignment horizontal="right"/>
    </xf>
    <xf numFmtId="1" fontId="11" fillId="0" borderId="0" xfId="0" applyNumberFormat="1" applyFont="1" applyAlignment="1">
      <alignment horizontal="center"/>
    </xf>
    <xf numFmtId="0" fontId="0" fillId="2" borderId="168" xfId="0" applyFill="1" applyBorder="1" applyAlignment="1">
      <alignment/>
    </xf>
    <xf numFmtId="0" fontId="1" fillId="2" borderId="169" xfId="0" applyFont="1" applyFill="1" applyBorder="1" applyAlignment="1">
      <alignment/>
    </xf>
    <xf numFmtId="173" fontId="0" fillId="3" borderId="23" xfId="0" applyNumberFormat="1" applyFill="1" applyBorder="1" applyAlignment="1">
      <alignment horizontal="center"/>
    </xf>
    <xf numFmtId="173" fontId="0" fillId="3" borderId="26" xfId="0" applyNumberFormat="1" applyFill="1" applyBorder="1" applyAlignment="1">
      <alignment horizontal="center"/>
    </xf>
    <xf numFmtId="173" fontId="0" fillId="3" borderId="25" xfId="0" applyNumberFormat="1" applyFill="1" applyBorder="1" applyAlignment="1">
      <alignment horizontal="center"/>
    </xf>
    <xf numFmtId="3" fontId="11" fillId="0" borderId="117" xfId="0" applyNumberFormat="1" applyFont="1" applyBorder="1" applyAlignment="1">
      <alignment horizontal="center"/>
    </xf>
    <xf numFmtId="3" fontId="11" fillId="0" borderId="26" xfId="0" applyNumberFormat="1" applyFont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0" xfId="0" applyBorder="1" applyAlignment="1">
      <alignment horizontal="center"/>
    </xf>
    <xf numFmtId="0" fontId="0" fillId="0" borderId="123" xfId="0" applyBorder="1" applyAlignment="1">
      <alignment horizontal="center"/>
    </xf>
    <xf numFmtId="0" fontId="0" fillId="0" borderId="124" xfId="0" applyBorder="1" applyAlignment="1">
      <alignment horizontal="center"/>
    </xf>
    <xf numFmtId="0" fontId="0" fillId="0" borderId="1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1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1" fillId="0" borderId="172" xfId="0" applyFont="1" applyBorder="1" applyAlignment="1">
      <alignment horizontal="center"/>
    </xf>
    <xf numFmtId="0" fontId="1" fillId="0" borderId="1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11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9" fontId="1" fillId="4" borderId="46" xfId="21" applyFont="1" applyFill="1" applyBorder="1" applyAlignment="1">
      <alignment horizontal="center"/>
    </xf>
    <xf numFmtId="1" fontId="0" fillId="8" borderId="10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2" xfId="0" applyFont="1" applyFill="1" applyBorder="1" applyAlignment="1">
      <alignment/>
    </xf>
    <xf numFmtId="0" fontId="12" fillId="0" borderId="46" xfId="0" applyFont="1" applyFill="1" applyBorder="1" applyAlignment="1">
      <alignment/>
    </xf>
    <xf numFmtId="0" fontId="12" fillId="0" borderId="114" xfId="0" applyFont="1" applyFill="1" applyBorder="1" applyAlignment="1">
      <alignment/>
    </xf>
    <xf numFmtId="0" fontId="12" fillId="0" borderId="57" xfId="0" applyFont="1" applyFill="1" applyBorder="1" applyAlignment="1">
      <alignment/>
    </xf>
    <xf numFmtId="9" fontId="11" fillId="0" borderId="46" xfId="21" applyFont="1" applyFill="1" applyBorder="1" applyAlignment="1">
      <alignment/>
    </xf>
    <xf numFmtId="165" fontId="11" fillId="0" borderId="39" xfId="15" applyNumberFormat="1" applyFont="1" applyFill="1" applyBorder="1" applyAlignment="1">
      <alignment/>
    </xf>
    <xf numFmtId="165" fontId="11" fillId="0" borderId="22" xfId="15" applyNumberFormat="1" applyFont="1" applyFill="1" applyBorder="1" applyAlignment="1">
      <alignment/>
    </xf>
    <xf numFmtId="165" fontId="11" fillId="0" borderId="22" xfId="15" applyNumberFormat="1" applyFont="1" applyFill="1" applyBorder="1" applyAlignment="1" quotePrefix="1">
      <alignment/>
    </xf>
    <xf numFmtId="165" fontId="11" fillId="0" borderId="45" xfId="15" applyNumberFormat="1" applyFont="1" applyFill="1" applyBorder="1" applyAlignment="1" quotePrefix="1">
      <alignment/>
    </xf>
    <xf numFmtId="165" fontId="11" fillId="0" borderId="73" xfId="15" applyNumberFormat="1" applyFont="1" applyFill="1" applyBorder="1" applyAlignment="1">
      <alignment/>
    </xf>
    <xf numFmtId="165" fontId="11" fillId="0" borderId="57" xfId="15" applyNumberFormat="1" applyFont="1" applyFill="1" applyBorder="1" applyAlignment="1">
      <alignment/>
    </xf>
    <xf numFmtId="165" fontId="11" fillId="0" borderId="46" xfId="15" applyNumberFormat="1" applyFont="1" applyFill="1" applyBorder="1" applyAlignment="1">
      <alignment/>
    </xf>
    <xf numFmtId="165" fontId="11" fillId="0" borderId="58" xfId="15" applyNumberFormat="1" applyFont="1" applyFill="1" applyBorder="1" applyAlignment="1">
      <alignment/>
    </xf>
    <xf numFmtId="165" fontId="11" fillId="0" borderId="62" xfId="15" applyNumberFormat="1" applyFont="1" applyFill="1" applyBorder="1" applyAlignment="1">
      <alignment/>
    </xf>
    <xf numFmtId="165" fontId="12" fillId="0" borderId="45" xfId="15" applyNumberFormat="1" applyFont="1" applyFill="1" applyBorder="1" applyAlignment="1">
      <alignment/>
    </xf>
    <xf numFmtId="165" fontId="12" fillId="0" borderId="114" xfId="15" applyNumberFormat="1" applyFont="1" applyFill="1" applyBorder="1" applyAlignment="1">
      <alignment/>
    </xf>
    <xf numFmtId="165" fontId="12" fillId="0" borderId="66" xfId="15" applyNumberFormat="1" applyFont="1" applyFill="1" applyBorder="1" applyAlignment="1">
      <alignment/>
    </xf>
    <xf numFmtId="3" fontId="11" fillId="0" borderId="117" xfId="0" applyNumberFormat="1" applyFont="1" applyBorder="1" applyAlignment="1">
      <alignment/>
    </xf>
    <xf numFmtId="3" fontId="11" fillId="0" borderId="26" xfId="0" applyNumberFormat="1" applyFont="1" applyBorder="1" applyAlignment="1">
      <alignment/>
    </xf>
    <xf numFmtId="185" fontId="11" fillId="0" borderId="0" xfId="0" applyNumberFormat="1" applyFont="1" applyAlignment="1">
      <alignment/>
    </xf>
    <xf numFmtId="9" fontId="11" fillId="0" borderId="0" xfId="21" applyFont="1" applyAlignment="1">
      <alignment/>
    </xf>
    <xf numFmtId="165" fontId="1" fillId="4" borderId="25" xfId="15" applyNumberFormat="1" applyFont="1" applyFill="1" applyBorder="1" applyAlignment="1">
      <alignment horizontal="center"/>
    </xf>
    <xf numFmtId="0" fontId="1" fillId="0" borderId="59" xfId="0" applyFont="1" applyBorder="1" applyAlignment="1">
      <alignment horizontal="right"/>
    </xf>
    <xf numFmtId="3" fontId="1" fillId="3" borderId="173" xfId="0" applyNumberFormat="1" applyFont="1" applyFill="1" applyBorder="1" applyAlignment="1">
      <alignment horizontal="center"/>
    </xf>
    <xf numFmtId="1" fontId="1" fillId="3" borderId="0" xfId="0" applyNumberFormat="1" applyFont="1" applyFill="1" applyBorder="1" applyAlignment="1">
      <alignment horizontal="center"/>
    </xf>
    <xf numFmtId="1" fontId="1" fillId="4" borderId="33" xfId="0" applyNumberFormat="1" applyFont="1" applyFill="1" applyBorder="1" applyAlignment="1">
      <alignment horizontal="center"/>
    </xf>
    <xf numFmtId="1" fontId="1" fillId="4" borderId="33" xfId="21" applyNumberFormat="1" applyFont="1" applyFill="1" applyBorder="1" applyAlignment="1">
      <alignment horizontal="center"/>
    </xf>
    <xf numFmtId="1" fontId="1" fillId="2" borderId="174" xfId="0" applyNumberFormat="1" applyFont="1" applyFill="1" applyBorder="1" applyAlignment="1">
      <alignment horizontal="center"/>
    </xf>
    <xf numFmtId="1" fontId="1" fillId="2" borderId="175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2" borderId="29" xfId="0" applyFont="1" applyFill="1" applyBorder="1" applyAlignment="1">
      <alignment horizontal="center"/>
    </xf>
    <xf numFmtId="9" fontId="1" fillId="4" borderId="36" xfId="21" applyFont="1" applyFill="1" applyBorder="1" applyAlignment="1">
      <alignment horizontal="center"/>
    </xf>
    <xf numFmtId="9" fontId="1" fillId="4" borderId="86" xfId="2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495300</xdr:colOff>
      <xdr:row>25</xdr:row>
      <xdr:rowOff>0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5800725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286875" y="4933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25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800725" y="4743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495300</xdr:colOff>
      <xdr:row>24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9286875" y="455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495300</xdr:colOff>
      <xdr:row>23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5800725" y="4362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29"/>
  <sheetViews>
    <sheetView zoomScale="75" zoomScaleNormal="75" workbookViewId="0" topLeftCell="A1">
      <pane xSplit="4" ySplit="9" topLeftCell="H34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36" sqref="J36"/>
    </sheetView>
  </sheetViews>
  <sheetFormatPr defaultColWidth="9.140625" defaultRowHeight="12.75"/>
  <cols>
    <col min="1" max="1" width="9.140625" style="220" customWidth="1"/>
    <col min="2" max="2" width="31.140625" style="1" customWidth="1"/>
    <col min="3" max="3" width="21.7109375" style="1" customWidth="1"/>
    <col min="4" max="4" width="22.140625" style="1" customWidth="1"/>
    <col min="5" max="5" width="24.7109375" style="1" customWidth="1"/>
    <col min="6" max="6" width="15.28125" style="1" customWidth="1"/>
    <col min="7" max="7" width="9.140625" style="1" customWidth="1"/>
    <col min="8" max="8" width="9.7109375" style="1" bestFit="1" customWidth="1"/>
    <col min="9" max="9" width="16.28125" style="1" customWidth="1"/>
    <col min="10" max="10" width="9.140625" style="1" customWidth="1"/>
    <col min="11" max="11" width="22.00390625" style="1" customWidth="1"/>
    <col min="12" max="12" width="9.140625" style="1" customWidth="1"/>
    <col min="13" max="13" width="13.8515625" style="1" customWidth="1"/>
    <col min="14" max="15" width="9.140625" style="22" customWidth="1"/>
    <col min="16" max="16" width="12.28125" style="22" bestFit="1" customWidth="1"/>
    <col min="17" max="17" width="14.421875" style="22" customWidth="1"/>
    <col min="18" max="21" width="9.140625" style="220" hidden="1" customWidth="1"/>
    <col min="22" max="226" width="9.140625" style="220" customWidth="1"/>
    <col min="227" max="16384" width="9.140625" style="1" customWidth="1"/>
  </cols>
  <sheetData>
    <row r="1" spans="2:17" ht="12.75"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415"/>
      <c r="O1" s="415"/>
      <c r="P1" s="415"/>
      <c r="Q1" s="415"/>
    </row>
    <row r="2" spans="2:17" ht="12.75">
      <c r="B2" s="198" t="s">
        <v>203</v>
      </c>
      <c r="C2" s="197"/>
      <c r="D2" s="197"/>
      <c r="E2" s="220"/>
      <c r="F2" s="220"/>
      <c r="G2" s="220"/>
      <c r="H2" s="220"/>
      <c r="I2" s="220"/>
      <c r="J2" s="220"/>
      <c r="K2" s="220"/>
      <c r="L2" s="220"/>
      <c r="M2" s="220"/>
      <c r="N2" s="415"/>
      <c r="O2" s="415"/>
      <c r="P2" s="415"/>
      <c r="Q2" s="415"/>
    </row>
    <row r="3" spans="2:17" ht="12.75">
      <c r="B3" s="199" t="s">
        <v>204</v>
      </c>
      <c r="C3" s="40"/>
      <c r="D3" s="40"/>
      <c r="E3" s="220"/>
      <c r="F3" s="220"/>
      <c r="G3" s="220"/>
      <c r="H3" s="220"/>
      <c r="I3" s="220"/>
      <c r="J3" s="220"/>
      <c r="K3" s="220"/>
      <c r="L3" s="220"/>
      <c r="M3" s="220"/>
      <c r="N3" s="415"/>
      <c r="O3" s="415"/>
      <c r="P3" s="415"/>
      <c r="Q3" s="415"/>
    </row>
    <row r="4" spans="2:17" ht="12.75">
      <c r="B4" s="200" t="s">
        <v>205</v>
      </c>
      <c r="C4" s="2"/>
      <c r="D4" s="2"/>
      <c r="F4" s="220"/>
      <c r="G4" s="220"/>
      <c r="H4" s="220"/>
      <c r="I4" s="220"/>
      <c r="J4" s="220"/>
      <c r="K4" s="220"/>
      <c r="L4" s="220"/>
      <c r="M4" s="220"/>
      <c r="N4" s="415"/>
      <c r="O4" s="415"/>
      <c r="P4" s="415"/>
      <c r="Q4" s="415"/>
    </row>
    <row r="5" spans="2:17" ht="13.5" thickBot="1">
      <c r="B5" s="622" t="s">
        <v>365</v>
      </c>
      <c r="C5" s="621"/>
      <c r="D5" s="621"/>
      <c r="E5" s="220"/>
      <c r="F5" s="220"/>
      <c r="G5" s="220"/>
      <c r="H5" s="220"/>
      <c r="I5" s="220"/>
      <c r="J5" s="220"/>
      <c r="K5" s="220"/>
      <c r="L5" s="220"/>
      <c r="M5" s="220"/>
      <c r="N5" s="415"/>
      <c r="O5" s="415"/>
      <c r="P5" s="415"/>
      <c r="Q5" s="415"/>
    </row>
    <row r="6" spans="2:17" s="414" customFormat="1" ht="23.25" customHeight="1" thickTop="1">
      <c r="B6" s="435" t="s">
        <v>197</v>
      </c>
      <c r="C6" s="420"/>
      <c r="D6" s="436"/>
      <c r="E6" s="420"/>
      <c r="F6" s="436"/>
      <c r="G6" s="420"/>
      <c r="H6" s="420"/>
      <c r="I6" s="420"/>
      <c r="J6" s="420"/>
      <c r="K6" s="420"/>
      <c r="L6" s="420"/>
      <c r="M6" s="426"/>
      <c r="N6" s="420"/>
      <c r="O6" s="420"/>
      <c r="P6" s="420"/>
      <c r="Q6" s="416"/>
    </row>
    <row r="7" spans="2:17" ht="12.75" customHeight="1">
      <c r="B7" s="431"/>
      <c r="C7" s="377"/>
      <c r="D7" s="437"/>
      <c r="E7" s="428"/>
      <c r="F7" s="438"/>
      <c r="G7" s="377" t="s">
        <v>7</v>
      </c>
      <c r="H7" s="377"/>
      <c r="I7" s="377"/>
      <c r="J7" s="377"/>
      <c r="K7" s="377" t="s">
        <v>10</v>
      </c>
      <c r="L7" s="377"/>
      <c r="M7" s="427"/>
      <c r="N7" s="421"/>
      <c r="O7" s="421" t="s">
        <v>87</v>
      </c>
      <c r="P7" s="421"/>
      <c r="Q7" s="417"/>
    </row>
    <row r="8" spans="2:17" ht="12.75">
      <c r="B8" s="431"/>
      <c r="C8" s="377"/>
      <c r="D8" s="437" t="s">
        <v>25</v>
      </c>
      <c r="E8" s="428" t="s">
        <v>1</v>
      </c>
      <c r="F8" s="437" t="s">
        <v>4</v>
      </c>
      <c r="G8" s="334" t="s">
        <v>5</v>
      </c>
      <c r="H8" s="439" t="s">
        <v>6</v>
      </c>
      <c r="I8" s="434" t="s">
        <v>8</v>
      </c>
      <c r="J8" s="432" t="s">
        <v>4</v>
      </c>
      <c r="K8" s="334" t="s">
        <v>5</v>
      </c>
      <c r="L8" s="334" t="s">
        <v>6</v>
      </c>
      <c r="M8" s="428" t="s">
        <v>8</v>
      </c>
      <c r="N8" s="424" t="s">
        <v>4</v>
      </c>
      <c r="O8" s="422" t="s">
        <v>5</v>
      </c>
      <c r="P8" s="422" t="s">
        <v>6</v>
      </c>
      <c r="Q8" s="418" t="s">
        <v>8</v>
      </c>
    </row>
    <row r="9" spans="2:17" ht="13.5" thickBot="1">
      <c r="B9" s="431"/>
      <c r="C9" s="377"/>
      <c r="D9" s="440" t="s">
        <v>26</v>
      </c>
      <c r="E9" s="441" t="s">
        <v>3</v>
      </c>
      <c r="F9" s="440" t="s">
        <v>2</v>
      </c>
      <c r="G9" s="430" t="s">
        <v>2</v>
      </c>
      <c r="H9" s="218" t="s">
        <v>2</v>
      </c>
      <c r="I9" s="219" t="s">
        <v>9</v>
      </c>
      <c r="J9" s="433" t="s">
        <v>11</v>
      </c>
      <c r="K9" s="430" t="s">
        <v>11</v>
      </c>
      <c r="L9" s="430" t="s">
        <v>11</v>
      </c>
      <c r="M9" s="429" t="s">
        <v>22</v>
      </c>
      <c r="N9" s="425" t="s">
        <v>88</v>
      </c>
      <c r="O9" s="423" t="s">
        <v>88</v>
      </c>
      <c r="P9" s="423" t="s">
        <v>88</v>
      </c>
      <c r="Q9" s="419" t="s">
        <v>89</v>
      </c>
    </row>
    <row r="10" spans="2:21" ht="12.75">
      <c r="B10" s="41"/>
      <c r="C10" s="82"/>
      <c r="D10" s="56"/>
      <c r="E10" s="156"/>
      <c r="F10" s="158"/>
      <c r="G10" s="57"/>
      <c r="H10" s="61"/>
      <c r="I10" s="155"/>
      <c r="J10" s="181"/>
      <c r="K10" s="57"/>
      <c r="L10" s="57"/>
      <c r="M10" s="153"/>
      <c r="N10" s="151"/>
      <c r="O10" s="58"/>
      <c r="P10" s="58"/>
      <c r="Q10" s="59"/>
      <c r="R10" s="220">
        <f>MAX($D10*((J$36)-J10),0)</f>
        <v>0</v>
      </c>
      <c r="S10" s="220">
        <f aca="true" t="shared" si="0" ref="S10:U19">MAX($D10*((K$36)-K10),0)</f>
        <v>0</v>
      </c>
      <c r="T10" s="220">
        <f t="shared" si="0"/>
        <v>0</v>
      </c>
      <c r="U10" s="220">
        <f t="shared" si="0"/>
        <v>0</v>
      </c>
    </row>
    <row r="11" spans="2:21" ht="12.75">
      <c r="B11" s="78" t="s">
        <v>12</v>
      </c>
      <c r="C11" s="84" t="s">
        <v>19</v>
      </c>
      <c r="D11" s="60"/>
      <c r="E11" s="157">
        <v>11</v>
      </c>
      <c r="F11" s="159">
        <v>2</v>
      </c>
      <c r="G11" s="61">
        <v>0.26</v>
      </c>
      <c r="H11" s="61">
        <v>55</v>
      </c>
      <c r="I11" s="155">
        <v>20000</v>
      </c>
      <c r="J11" s="182">
        <f>MAX(0.226*(0.05+0.009*$E11)*F11*$C$62*0.9,(J$36)*C$59)</f>
        <v>1.25</v>
      </c>
      <c r="K11" s="62">
        <f aca="true" t="shared" si="1" ref="K11:K20">MAX(0.226*(0.05+0.009*$E11)*G11*$C$62*0.9,(K$36)*D$59)</f>
        <v>0.13999999999999999</v>
      </c>
      <c r="L11" s="63">
        <f aca="true" t="shared" si="2" ref="L11:L20">MAX(0.226*(0.05+0.009*$E11)*H11*$C$62*0.9,(L$36)*E$59)</f>
        <v>90</v>
      </c>
      <c r="M11" s="154">
        <f>MAX(1.03*(0.05+0.009*$E11)*I11*$C$62/1000*0.9,(M$36)*F$59)</f>
        <v>12</v>
      </c>
      <c r="N11" s="152">
        <f aca="true" t="shared" si="3" ref="N11:P13">$D11*J11</f>
        <v>0</v>
      </c>
      <c r="O11" s="64">
        <f t="shared" si="3"/>
        <v>0</v>
      </c>
      <c r="P11" s="64">
        <f t="shared" si="3"/>
        <v>0</v>
      </c>
      <c r="Q11" s="65">
        <f>M11*D11</f>
        <v>0</v>
      </c>
      <c r="R11" s="220">
        <f aca="true" t="shared" si="4" ref="R11:R19">MAX($D11*((J$36)-J11),0)</f>
        <v>0</v>
      </c>
      <c r="S11" s="220">
        <f t="shared" si="0"/>
        <v>0</v>
      </c>
      <c r="T11" s="220">
        <f t="shared" si="0"/>
        <v>0</v>
      </c>
      <c r="U11" s="220">
        <f t="shared" si="0"/>
        <v>0</v>
      </c>
    </row>
    <row r="12" spans="2:21" ht="12.75">
      <c r="B12" s="78"/>
      <c r="C12" s="84" t="s">
        <v>20</v>
      </c>
      <c r="D12" s="60"/>
      <c r="E12" s="157">
        <v>21</v>
      </c>
      <c r="F12" s="159">
        <v>2</v>
      </c>
      <c r="G12" s="61">
        <v>0.26</v>
      </c>
      <c r="H12" s="61">
        <v>55</v>
      </c>
      <c r="I12" s="155">
        <v>20000</v>
      </c>
      <c r="J12" s="182">
        <f aca="true" t="shared" si="5" ref="J12:J20">MAX(0.226*(0.05+0.009*$E12)*F12*$C$62*0.9,(J$36)*C$59)</f>
        <v>1.25</v>
      </c>
      <c r="K12" s="62">
        <f t="shared" si="1"/>
        <v>0.13999999999999999</v>
      </c>
      <c r="L12" s="63">
        <f t="shared" si="2"/>
        <v>90</v>
      </c>
      <c r="M12" s="154">
        <f aca="true" t="shared" si="6" ref="M12:M20">MAX(1.03*(0.05+0.009*$E12)*I12*$C$62/1000*0.9,(M$36)*F$59)</f>
        <v>12</v>
      </c>
      <c r="N12" s="152">
        <f t="shared" si="3"/>
        <v>0</v>
      </c>
      <c r="O12" s="64">
        <f t="shared" si="3"/>
        <v>0</v>
      </c>
      <c r="P12" s="64">
        <f t="shared" si="3"/>
        <v>0</v>
      </c>
      <c r="Q12" s="65">
        <f aca="true" t="shared" si="7" ref="Q12:Q35">M12*D12</f>
        <v>0</v>
      </c>
      <c r="R12" s="220">
        <f t="shared" si="4"/>
        <v>0</v>
      </c>
      <c r="S12" s="220">
        <f t="shared" si="0"/>
        <v>0</v>
      </c>
      <c r="T12" s="220">
        <f t="shared" si="0"/>
        <v>0</v>
      </c>
      <c r="U12" s="220">
        <f t="shared" si="0"/>
        <v>0</v>
      </c>
    </row>
    <row r="13" spans="2:21" ht="12.75">
      <c r="B13" s="78"/>
      <c r="C13" s="84" t="s">
        <v>21</v>
      </c>
      <c r="D13" s="60"/>
      <c r="E13" s="157">
        <v>33</v>
      </c>
      <c r="F13" s="159">
        <v>2</v>
      </c>
      <c r="G13" s="61">
        <v>0.26</v>
      </c>
      <c r="H13" s="61">
        <v>55</v>
      </c>
      <c r="I13" s="155">
        <v>20000</v>
      </c>
      <c r="J13" s="182">
        <f t="shared" si="5"/>
        <v>1.25</v>
      </c>
      <c r="K13" s="62">
        <f t="shared" si="1"/>
        <v>0.13999999999999999</v>
      </c>
      <c r="L13" s="63">
        <f t="shared" si="2"/>
        <v>90</v>
      </c>
      <c r="M13" s="154">
        <f t="shared" si="6"/>
        <v>12</v>
      </c>
      <c r="N13" s="152">
        <f t="shared" si="3"/>
        <v>0</v>
      </c>
      <c r="O13" s="64">
        <f t="shared" si="3"/>
        <v>0</v>
      </c>
      <c r="P13" s="64">
        <f t="shared" si="3"/>
        <v>0</v>
      </c>
      <c r="Q13" s="65">
        <f t="shared" si="7"/>
        <v>0</v>
      </c>
      <c r="R13" s="220">
        <f t="shared" si="4"/>
        <v>0</v>
      </c>
      <c r="S13" s="220">
        <f t="shared" si="0"/>
        <v>0</v>
      </c>
      <c r="T13" s="220">
        <f t="shared" si="0"/>
        <v>0</v>
      </c>
      <c r="U13" s="220">
        <f t="shared" si="0"/>
        <v>0</v>
      </c>
    </row>
    <row r="14" spans="2:21" ht="12.75">
      <c r="B14" s="78"/>
      <c r="C14" s="84" t="s">
        <v>334</v>
      </c>
      <c r="D14" s="60"/>
      <c r="E14" s="157">
        <v>44</v>
      </c>
      <c r="F14" s="159">
        <v>2</v>
      </c>
      <c r="G14" s="61">
        <v>0.26</v>
      </c>
      <c r="H14" s="61">
        <v>55</v>
      </c>
      <c r="I14" s="155">
        <v>20000</v>
      </c>
      <c r="J14" s="182">
        <f t="shared" si="5"/>
        <v>1.25</v>
      </c>
      <c r="K14" s="62">
        <f t="shared" si="1"/>
        <v>0.13999999999999999</v>
      </c>
      <c r="L14" s="63">
        <f t="shared" si="2"/>
        <v>90</v>
      </c>
      <c r="M14" s="154">
        <f t="shared" si="6"/>
        <v>12</v>
      </c>
      <c r="N14" s="152">
        <f aca="true" t="shared" si="8" ref="N14:N35">$D14*J14</f>
        <v>0</v>
      </c>
      <c r="O14" s="64">
        <f aca="true" t="shared" si="9" ref="O14:O54">$D14*K14</f>
        <v>0</v>
      </c>
      <c r="P14" s="64">
        <f aca="true" t="shared" si="10" ref="P14:P54">$D14*L14</f>
        <v>0</v>
      </c>
      <c r="Q14" s="65">
        <f t="shared" si="7"/>
        <v>0</v>
      </c>
      <c r="R14" s="220">
        <f t="shared" si="4"/>
        <v>0</v>
      </c>
      <c r="S14" s="220">
        <f t="shared" si="0"/>
        <v>0</v>
      </c>
      <c r="T14" s="220">
        <f t="shared" si="0"/>
        <v>0</v>
      </c>
      <c r="U14" s="220">
        <f t="shared" si="0"/>
        <v>0</v>
      </c>
    </row>
    <row r="15" spans="2:21" ht="12.75">
      <c r="B15" s="78"/>
      <c r="C15" s="84"/>
      <c r="D15" s="60"/>
      <c r="E15" s="157"/>
      <c r="F15" s="159"/>
      <c r="G15" s="61"/>
      <c r="H15" s="61"/>
      <c r="I15" s="155"/>
      <c r="J15" s="182">
        <f t="shared" si="5"/>
        <v>1.25</v>
      </c>
      <c r="K15" s="62">
        <f t="shared" si="1"/>
        <v>0.13999999999999999</v>
      </c>
      <c r="L15" s="63">
        <f t="shared" si="2"/>
        <v>90</v>
      </c>
      <c r="M15" s="154">
        <f t="shared" si="6"/>
        <v>12</v>
      </c>
      <c r="N15" s="152">
        <f t="shared" si="8"/>
        <v>0</v>
      </c>
      <c r="O15" s="64">
        <f t="shared" si="9"/>
        <v>0</v>
      </c>
      <c r="P15" s="64">
        <f t="shared" si="10"/>
        <v>0</v>
      </c>
      <c r="Q15" s="65">
        <f t="shared" si="7"/>
        <v>0</v>
      </c>
      <c r="R15" s="220">
        <f t="shared" si="4"/>
        <v>0</v>
      </c>
      <c r="S15" s="220">
        <f t="shared" si="0"/>
        <v>0</v>
      </c>
      <c r="T15" s="220">
        <f t="shared" si="0"/>
        <v>0</v>
      </c>
      <c r="U15" s="220">
        <f t="shared" si="0"/>
        <v>0</v>
      </c>
    </row>
    <row r="16" spans="2:21" ht="12.75">
      <c r="B16" s="78"/>
      <c r="C16" s="84"/>
      <c r="D16" s="60"/>
      <c r="E16" s="157"/>
      <c r="F16" s="159"/>
      <c r="G16" s="61"/>
      <c r="H16" s="61"/>
      <c r="I16" s="155"/>
      <c r="J16" s="182">
        <f t="shared" si="5"/>
        <v>1.25</v>
      </c>
      <c r="K16" s="62">
        <f t="shared" si="1"/>
        <v>0.13999999999999999</v>
      </c>
      <c r="L16" s="63">
        <f t="shared" si="2"/>
        <v>90</v>
      </c>
      <c r="M16" s="154">
        <f t="shared" si="6"/>
        <v>12</v>
      </c>
      <c r="N16" s="152">
        <f t="shared" si="8"/>
        <v>0</v>
      </c>
      <c r="O16" s="64">
        <f t="shared" si="9"/>
        <v>0</v>
      </c>
      <c r="P16" s="64">
        <f t="shared" si="10"/>
        <v>0</v>
      </c>
      <c r="Q16" s="65">
        <f t="shared" si="7"/>
        <v>0</v>
      </c>
      <c r="R16" s="220">
        <f t="shared" si="4"/>
        <v>0</v>
      </c>
      <c r="S16" s="220">
        <f t="shared" si="0"/>
        <v>0</v>
      </c>
      <c r="T16" s="220">
        <f t="shared" si="0"/>
        <v>0</v>
      </c>
      <c r="U16" s="220">
        <f t="shared" si="0"/>
        <v>0</v>
      </c>
    </row>
    <row r="17" spans="2:21" ht="12.75">
      <c r="B17" s="78"/>
      <c r="C17" s="84"/>
      <c r="D17" s="60"/>
      <c r="E17" s="157"/>
      <c r="F17" s="159"/>
      <c r="G17" s="61"/>
      <c r="H17" s="61"/>
      <c r="I17" s="155"/>
      <c r="J17" s="182">
        <f t="shared" si="5"/>
        <v>1.25</v>
      </c>
      <c r="K17" s="62">
        <f t="shared" si="1"/>
        <v>0.13999999999999999</v>
      </c>
      <c r="L17" s="63">
        <f t="shared" si="2"/>
        <v>90</v>
      </c>
      <c r="M17" s="154">
        <f t="shared" si="6"/>
        <v>12</v>
      </c>
      <c r="N17" s="152">
        <f t="shared" si="8"/>
        <v>0</v>
      </c>
      <c r="O17" s="64">
        <f t="shared" si="9"/>
        <v>0</v>
      </c>
      <c r="P17" s="64">
        <f t="shared" si="10"/>
        <v>0</v>
      </c>
      <c r="Q17" s="65">
        <f t="shared" si="7"/>
        <v>0</v>
      </c>
      <c r="R17" s="220">
        <f t="shared" si="4"/>
        <v>0</v>
      </c>
      <c r="S17" s="220">
        <f t="shared" si="0"/>
        <v>0</v>
      </c>
      <c r="T17" s="220">
        <f t="shared" si="0"/>
        <v>0</v>
      </c>
      <c r="U17" s="220">
        <f t="shared" si="0"/>
        <v>0</v>
      </c>
    </row>
    <row r="18" spans="2:21" ht="12.75">
      <c r="B18" s="78"/>
      <c r="C18" s="84"/>
      <c r="D18" s="60"/>
      <c r="E18" s="157"/>
      <c r="F18" s="159"/>
      <c r="G18" s="61"/>
      <c r="H18" s="61"/>
      <c r="I18" s="155"/>
      <c r="J18" s="182">
        <f t="shared" si="5"/>
        <v>1.25</v>
      </c>
      <c r="K18" s="62">
        <f t="shared" si="1"/>
        <v>0.13999999999999999</v>
      </c>
      <c r="L18" s="63">
        <f t="shared" si="2"/>
        <v>90</v>
      </c>
      <c r="M18" s="154">
        <f t="shared" si="6"/>
        <v>12</v>
      </c>
      <c r="N18" s="152">
        <f t="shared" si="8"/>
        <v>0</v>
      </c>
      <c r="O18" s="64">
        <f t="shared" si="9"/>
        <v>0</v>
      </c>
      <c r="P18" s="64">
        <f t="shared" si="10"/>
        <v>0</v>
      </c>
      <c r="Q18" s="65">
        <f t="shared" si="7"/>
        <v>0</v>
      </c>
      <c r="R18" s="220">
        <f t="shared" si="4"/>
        <v>0</v>
      </c>
      <c r="S18" s="220">
        <f t="shared" si="0"/>
        <v>0</v>
      </c>
      <c r="T18" s="220">
        <f t="shared" si="0"/>
        <v>0</v>
      </c>
      <c r="U18" s="220">
        <f t="shared" si="0"/>
        <v>0</v>
      </c>
    </row>
    <row r="19" spans="2:21" ht="12.75">
      <c r="B19" s="78"/>
      <c r="C19" s="84"/>
      <c r="D19" s="60"/>
      <c r="E19" s="157"/>
      <c r="F19" s="159"/>
      <c r="G19" s="61"/>
      <c r="H19" s="61"/>
      <c r="I19" s="155"/>
      <c r="J19" s="182">
        <f t="shared" si="5"/>
        <v>1.25</v>
      </c>
      <c r="K19" s="62">
        <f t="shared" si="1"/>
        <v>0.13999999999999999</v>
      </c>
      <c r="L19" s="63">
        <f t="shared" si="2"/>
        <v>90</v>
      </c>
      <c r="M19" s="154">
        <f t="shared" si="6"/>
        <v>12</v>
      </c>
      <c r="N19" s="152">
        <f t="shared" si="8"/>
        <v>0</v>
      </c>
      <c r="O19" s="64">
        <f t="shared" si="9"/>
        <v>0</v>
      </c>
      <c r="P19" s="64">
        <f t="shared" si="10"/>
        <v>0</v>
      </c>
      <c r="Q19" s="65">
        <f t="shared" si="7"/>
        <v>0</v>
      </c>
      <c r="R19" s="220">
        <f t="shared" si="4"/>
        <v>0</v>
      </c>
      <c r="S19" s="220">
        <f t="shared" si="0"/>
        <v>0</v>
      </c>
      <c r="T19" s="220">
        <f t="shared" si="0"/>
        <v>0</v>
      </c>
      <c r="U19" s="220">
        <f t="shared" si="0"/>
        <v>0</v>
      </c>
    </row>
    <row r="20" spans="2:17" ht="13.5" thickBot="1">
      <c r="B20" s="131"/>
      <c r="C20" s="193"/>
      <c r="D20" s="624"/>
      <c r="E20" s="211"/>
      <c r="F20" s="212"/>
      <c r="G20" s="210"/>
      <c r="H20" s="210"/>
      <c r="I20" s="208"/>
      <c r="J20" s="625">
        <f t="shared" si="5"/>
        <v>1.25</v>
      </c>
      <c r="K20" s="626">
        <f t="shared" si="1"/>
        <v>0.13999999999999999</v>
      </c>
      <c r="L20" s="627">
        <f t="shared" si="2"/>
        <v>90</v>
      </c>
      <c r="M20" s="628">
        <f t="shared" si="6"/>
        <v>12</v>
      </c>
      <c r="N20" s="192">
        <f t="shared" si="8"/>
        <v>0</v>
      </c>
      <c r="O20" s="190">
        <f t="shared" si="9"/>
        <v>0</v>
      </c>
      <c r="P20" s="190">
        <f t="shared" si="10"/>
        <v>0</v>
      </c>
      <c r="Q20" s="191">
        <f t="shared" si="7"/>
        <v>0</v>
      </c>
    </row>
    <row r="21" spans="2:17" ht="12.75">
      <c r="B21" s="41" t="s">
        <v>13</v>
      </c>
      <c r="C21" s="82"/>
      <c r="D21" s="56"/>
      <c r="E21" s="156">
        <v>72</v>
      </c>
      <c r="F21" s="159">
        <v>2</v>
      </c>
      <c r="G21" s="61">
        <v>0.26</v>
      </c>
      <c r="H21" s="57">
        <v>55</v>
      </c>
      <c r="I21" s="153">
        <v>20000</v>
      </c>
      <c r="J21" s="629">
        <f aca="true" t="shared" si="11" ref="J21:J35">0.226*(0.05+0.009*$E21)*F21*$C$62*0.9</f>
        <v>0</v>
      </c>
      <c r="K21" s="630">
        <f aca="true" t="shared" si="12" ref="K21:K35">0.226*(0.05+0.009*$E21)*G21*$C$62*0.9</f>
        <v>0</v>
      </c>
      <c r="L21" s="631">
        <f aca="true" t="shared" si="13" ref="L21:L35">0.226*(0.05+0.009*$E21)*H21*$C$62*0.9</f>
        <v>0</v>
      </c>
      <c r="M21" s="632">
        <f aca="true" t="shared" si="14" ref="M21:M35">1.03*(0.05+0.009*$E21)*I21*$C$62/1000*0.9</f>
        <v>0</v>
      </c>
      <c r="N21" s="633">
        <f t="shared" si="8"/>
        <v>0</v>
      </c>
      <c r="O21" s="231">
        <f t="shared" si="9"/>
        <v>0</v>
      </c>
      <c r="P21" s="231">
        <f t="shared" si="10"/>
        <v>0</v>
      </c>
      <c r="Q21" s="232">
        <f t="shared" si="7"/>
        <v>0</v>
      </c>
    </row>
    <row r="22" spans="2:17" ht="12.75">
      <c r="B22" s="78"/>
      <c r="C22" s="84"/>
      <c r="D22" s="60"/>
      <c r="E22" s="157"/>
      <c r="F22" s="306"/>
      <c r="G22" s="61"/>
      <c r="H22" s="61"/>
      <c r="I22" s="155"/>
      <c r="J22" s="182">
        <f t="shared" si="11"/>
        <v>0</v>
      </c>
      <c r="K22" s="62">
        <f t="shared" si="12"/>
        <v>0</v>
      </c>
      <c r="L22" s="63">
        <f t="shared" si="13"/>
        <v>0</v>
      </c>
      <c r="M22" s="154">
        <f t="shared" si="14"/>
        <v>0</v>
      </c>
      <c r="N22" s="152">
        <f t="shared" si="8"/>
        <v>0</v>
      </c>
      <c r="O22" s="64">
        <f t="shared" si="9"/>
        <v>0</v>
      </c>
      <c r="P22" s="64">
        <f t="shared" si="10"/>
        <v>0</v>
      </c>
      <c r="Q22" s="65">
        <f t="shared" si="7"/>
        <v>0</v>
      </c>
    </row>
    <row r="23" spans="2:17" ht="12.75">
      <c r="B23" s="78"/>
      <c r="C23" s="84"/>
      <c r="D23" s="60"/>
      <c r="E23" s="157"/>
      <c r="F23" s="306"/>
      <c r="G23" s="61"/>
      <c r="H23" s="61"/>
      <c r="I23" s="155"/>
      <c r="J23" s="182">
        <f t="shared" si="11"/>
        <v>0</v>
      </c>
      <c r="K23" s="62">
        <f t="shared" si="12"/>
        <v>0</v>
      </c>
      <c r="L23" s="63">
        <f t="shared" si="13"/>
        <v>0</v>
      </c>
      <c r="M23" s="154">
        <f t="shared" si="14"/>
        <v>0</v>
      </c>
      <c r="N23" s="152">
        <f t="shared" si="8"/>
        <v>0</v>
      </c>
      <c r="O23" s="64">
        <f t="shared" si="9"/>
        <v>0</v>
      </c>
      <c r="P23" s="64">
        <f t="shared" si="10"/>
        <v>0</v>
      </c>
      <c r="Q23" s="65">
        <f t="shared" si="7"/>
        <v>0</v>
      </c>
    </row>
    <row r="24" spans="2:17" ht="12.75">
      <c r="B24" s="78"/>
      <c r="C24" s="84"/>
      <c r="D24" s="60"/>
      <c r="E24" s="157"/>
      <c r="F24" s="306"/>
      <c r="G24" s="61"/>
      <c r="H24" s="61"/>
      <c r="I24" s="155"/>
      <c r="J24" s="182">
        <f t="shared" si="11"/>
        <v>0</v>
      </c>
      <c r="K24" s="62">
        <f t="shared" si="12"/>
        <v>0</v>
      </c>
      <c r="L24" s="63">
        <f t="shared" si="13"/>
        <v>0</v>
      </c>
      <c r="M24" s="154">
        <f t="shared" si="14"/>
        <v>0</v>
      </c>
      <c r="N24" s="152">
        <f t="shared" si="8"/>
        <v>0</v>
      </c>
      <c r="O24" s="64">
        <f t="shared" si="9"/>
        <v>0</v>
      </c>
      <c r="P24" s="64">
        <f t="shared" si="10"/>
        <v>0</v>
      </c>
      <c r="Q24" s="65">
        <f t="shared" si="7"/>
        <v>0</v>
      </c>
    </row>
    <row r="25" spans="2:17" ht="13.5" thickBot="1">
      <c r="B25" s="131"/>
      <c r="C25" s="193"/>
      <c r="D25" s="624"/>
      <c r="E25" s="211"/>
      <c r="F25" s="634"/>
      <c r="G25" s="210"/>
      <c r="H25" s="210"/>
      <c r="I25" s="208"/>
      <c r="J25" s="625">
        <f t="shared" si="11"/>
        <v>0</v>
      </c>
      <c r="K25" s="626">
        <f t="shared" si="12"/>
        <v>0</v>
      </c>
      <c r="L25" s="627">
        <f t="shared" si="13"/>
        <v>0</v>
      </c>
      <c r="M25" s="628">
        <f t="shared" si="14"/>
        <v>0</v>
      </c>
      <c r="N25" s="192">
        <f t="shared" si="8"/>
        <v>0</v>
      </c>
      <c r="O25" s="190">
        <f t="shared" si="9"/>
        <v>0</v>
      </c>
      <c r="P25" s="190">
        <f t="shared" si="10"/>
        <v>0</v>
      </c>
      <c r="Q25" s="191">
        <f t="shared" si="7"/>
        <v>0</v>
      </c>
    </row>
    <row r="26" spans="2:17" ht="12.75">
      <c r="B26" s="41" t="s">
        <v>14</v>
      </c>
      <c r="C26" s="82"/>
      <c r="D26" s="56"/>
      <c r="E26" s="156">
        <v>80</v>
      </c>
      <c r="F26" s="159">
        <v>2</v>
      </c>
      <c r="G26" s="61">
        <v>0.26</v>
      </c>
      <c r="H26" s="57">
        <v>55</v>
      </c>
      <c r="I26" s="153">
        <v>20000</v>
      </c>
      <c r="J26" s="629">
        <f t="shared" si="11"/>
        <v>0</v>
      </c>
      <c r="K26" s="630">
        <f t="shared" si="12"/>
        <v>0</v>
      </c>
      <c r="L26" s="631">
        <f t="shared" si="13"/>
        <v>0</v>
      </c>
      <c r="M26" s="632">
        <f t="shared" si="14"/>
        <v>0</v>
      </c>
      <c r="N26" s="633">
        <f t="shared" si="8"/>
        <v>0</v>
      </c>
      <c r="O26" s="231">
        <f t="shared" si="9"/>
        <v>0</v>
      </c>
      <c r="P26" s="231">
        <f t="shared" si="10"/>
        <v>0</v>
      </c>
      <c r="Q26" s="232">
        <f t="shared" si="7"/>
        <v>0</v>
      </c>
    </row>
    <row r="27" spans="2:17" ht="12.75">
      <c r="B27" s="78"/>
      <c r="C27" s="84"/>
      <c r="D27" s="60"/>
      <c r="E27" s="157"/>
      <c r="F27" s="306"/>
      <c r="G27" s="61"/>
      <c r="H27" s="61"/>
      <c r="I27" s="155"/>
      <c r="J27" s="182">
        <f t="shared" si="11"/>
        <v>0</v>
      </c>
      <c r="K27" s="62">
        <f t="shared" si="12"/>
        <v>0</v>
      </c>
      <c r="L27" s="63">
        <f t="shared" si="13"/>
        <v>0</v>
      </c>
      <c r="M27" s="154">
        <f t="shared" si="14"/>
        <v>0</v>
      </c>
      <c r="N27" s="152">
        <f t="shared" si="8"/>
        <v>0</v>
      </c>
      <c r="O27" s="64">
        <f t="shared" si="9"/>
        <v>0</v>
      </c>
      <c r="P27" s="64">
        <f t="shared" si="10"/>
        <v>0</v>
      </c>
      <c r="Q27" s="65">
        <f t="shared" si="7"/>
        <v>0</v>
      </c>
    </row>
    <row r="28" spans="2:17" ht="12.75">
      <c r="B28" s="78"/>
      <c r="C28" s="84"/>
      <c r="D28" s="60"/>
      <c r="E28" s="157"/>
      <c r="F28" s="306"/>
      <c r="G28" s="61"/>
      <c r="H28" s="61"/>
      <c r="I28" s="155"/>
      <c r="J28" s="182">
        <f t="shared" si="11"/>
        <v>0</v>
      </c>
      <c r="K28" s="62">
        <f t="shared" si="12"/>
        <v>0</v>
      </c>
      <c r="L28" s="63">
        <f t="shared" si="13"/>
        <v>0</v>
      </c>
      <c r="M28" s="154">
        <f t="shared" si="14"/>
        <v>0</v>
      </c>
      <c r="N28" s="152">
        <f t="shared" si="8"/>
        <v>0</v>
      </c>
      <c r="O28" s="64">
        <f t="shared" si="9"/>
        <v>0</v>
      </c>
      <c r="P28" s="64">
        <f t="shared" si="10"/>
        <v>0</v>
      </c>
      <c r="Q28" s="65">
        <f t="shared" si="7"/>
        <v>0</v>
      </c>
    </row>
    <row r="29" spans="2:17" ht="12.75">
      <c r="B29" s="78"/>
      <c r="C29" s="84"/>
      <c r="D29" s="60"/>
      <c r="E29" s="157"/>
      <c r="F29" s="306"/>
      <c r="G29" s="61"/>
      <c r="H29" s="61"/>
      <c r="I29" s="155"/>
      <c r="J29" s="182">
        <f t="shared" si="11"/>
        <v>0</v>
      </c>
      <c r="K29" s="62">
        <f t="shared" si="12"/>
        <v>0</v>
      </c>
      <c r="L29" s="63">
        <f t="shared" si="13"/>
        <v>0</v>
      </c>
      <c r="M29" s="154">
        <f t="shared" si="14"/>
        <v>0</v>
      </c>
      <c r="N29" s="152">
        <f t="shared" si="8"/>
        <v>0</v>
      </c>
      <c r="O29" s="64">
        <f t="shared" si="9"/>
        <v>0</v>
      </c>
      <c r="P29" s="64">
        <f t="shared" si="10"/>
        <v>0</v>
      </c>
      <c r="Q29" s="65">
        <f t="shared" si="7"/>
        <v>0</v>
      </c>
    </row>
    <row r="30" spans="2:17" ht="13.5" thickBot="1">
      <c r="B30" s="131"/>
      <c r="C30" s="193"/>
      <c r="D30" s="624"/>
      <c r="E30" s="211"/>
      <c r="F30" s="634"/>
      <c r="G30" s="210"/>
      <c r="H30" s="210"/>
      <c r="I30" s="208"/>
      <c r="J30" s="625">
        <f t="shared" si="11"/>
        <v>0</v>
      </c>
      <c r="K30" s="626">
        <f t="shared" si="12"/>
        <v>0</v>
      </c>
      <c r="L30" s="627">
        <f t="shared" si="13"/>
        <v>0</v>
      </c>
      <c r="M30" s="628">
        <f t="shared" si="14"/>
        <v>0</v>
      </c>
      <c r="N30" s="192">
        <f t="shared" si="8"/>
        <v>0</v>
      </c>
      <c r="O30" s="190">
        <f t="shared" si="9"/>
        <v>0</v>
      </c>
      <c r="P30" s="190">
        <f t="shared" si="10"/>
        <v>0</v>
      </c>
      <c r="Q30" s="191">
        <f t="shared" si="7"/>
        <v>0</v>
      </c>
    </row>
    <row r="31" spans="2:17" ht="12.75">
      <c r="B31" s="41" t="s">
        <v>15</v>
      </c>
      <c r="C31" s="82"/>
      <c r="D31" s="56"/>
      <c r="E31" s="156">
        <v>53</v>
      </c>
      <c r="F31" s="159">
        <v>2</v>
      </c>
      <c r="G31" s="61">
        <v>0.26</v>
      </c>
      <c r="H31" s="61">
        <v>55</v>
      </c>
      <c r="I31" s="153">
        <v>20000</v>
      </c>
      <c r="J31" s="629">
        <f t="shared" si="11"/>
        <v>0</v>
      </c>
      <c r="K31" s="630">
        <f t="shared" si="12"/>
        <v>0</v>
      </c>
      <c r="L31" s="631">
        <f t="shared" si="13"/>
        <v>0</v>
      </c>
      <c r="M31" s="632">
        <f t="shared" si="14"/>
        <v>0</v>
      </c>
      <c r="N31" s="633">
        <f t="shared" si="8"/>
        <v>0</v>
      </c>
      <c r="O31" s="231">
        <f t="shared" si="9"/>
        <v>0</v>
      </c>
      <c r="P31" s="231">
        <f t="shared" si="10"/>
        <v>0</v>
      </c>
      <c r="Q31" s="232">
        <f t="shared" si="7"/>
        <v>0</v>
      </c>
    </row>
    <row r="32" spans="2:17" ht="12.75">
      <c r="B32" s="78"/>
      <c r="C32" s="84"/>
      <c r="D32" s="60"/>
      <c r="E32" s="157"/>
      <c r="F32" s="159"/>
      <c r="G32" s="61"/>
      <c r="H32" s="61"/>
      <c r="I32" s="155"/>
      <c r="J32" s="182">
        <f t="shared" si="11"/>
        <v>0</v>
      </c>
      <c r="K32" s="62">
        <f t="shared" si="12"/>
        <v>0</v>
      </c>
      <c r="L32" s="63">
        <f t="shared" si="13"/>
        <v>0</v>
      </c>
      <c r="M32" s="154">
        <f t="shared" si="14"/>
        <v>0</v>
      </c>
      <c r="N32" s="152">
        <f t="shared" si="8"/>
        <v>0</v>
      </c>
      <c r="O32" s="64">
        <f t="shared" si="9"/>
        <v>0</v>
      </c>
      <c r="P32" s="64">
        <f t="shared" si="10"/>
        <v>0</v>
      </c>
      <c r="Q32" s="65">
        <f t="shared" si="7"/>
        <v>0</v>
      </c>
    </row>
    <row r="33" spans="2:17" ht="12.75">
      <c r="B33" s="78"/>
      <c r="C33" s="84"/>
      <c r="D33" s="60"/>
      <c r="E33" s="157"/>
      <c r="F33" s="159"/>
      <c r="G33" s="61"/>
      <c r="H33" s="61"/>
      <c r="I33" s="155"/>
      <c r="J33" s="182">
        <f t="shared" si="11"/>
        <v>0</v>
      </c>
      <c r="K33" s="62">
        <f t="shared" si="12"/>
        <v>0</v>
      </c>
      <c r="L33" s="63">
        <f t="shared" si="13"/>
        <v>0</v>
      </c>
      <c r="M33" s="154">
        <f t="shared" si="14"/>
        <v>0</v>
      </c>
      <c r="N33" s="152">
        <f t="shared" si="8"/>
        <v>0</v>
      </c>
      <c r="O33" s="64">
        <f t="shared" si="9"/>
        <v>0</v>
      </c>
      <c r="P33" s="64">
        <f t="shared" si="10"/>
        <v>0</v>
      </c>
      <c r="Q33" s="65">
        <f t="shared" si="7"/>
        <v>0</v>
      </c>
    </row>
    <row r="34" spans="2:17" ht="12.75">
      <c r="B34" s="78"/>
      <c r="C34" s="84"/>
      <c r="D34" s="60"/>
      <c r="E34" s="157"/>
      <c r="F34" s="159"/>
      <c r="G34" s="61"/>
      <c r="H34" s="61"/>
      <c r="I34" s="155"/>
      <c r="J34" s="182">
        <f t="shared" si="11"/>
        <v>0</v>
      </c>
      <c r="K34" s="62">
        <f t="shared" si="12"/>
        <v>0</v>
      </c>
      <c r="L34" s="63">
        <f t="shared" si="13"/>
        <v>0</v>
      </c>
      <c r="M34" s="154">
        <f t="shared" si="14"/>
        <v>0</v>
      </c>
      <c r="N34" s="152">
        <f t="shared" si="8"/>
        <v>0</v>
      </c>
      <c r="O34" s="64">
        <f t="shared" si="9"/>
        <v>0</v>
      </c>
      <c r="P34" s="64">
        <f t="shared" si="10"/>
        <v>0</v>
      </c>
      <c r="Q34" s="65">
        <f t="shared" si="7"/>
        <v>0</v>
      </c>
    </row>
    <row r="35" spans="2:17" ht="13.5" thickBot="1">
      <c r="B35" s="131"/>
      <c r="C35" s="193"/>
      <c r="D35" s="624"/>
      <c r="E35" s="211"/>
      <c r="F35" s="212"/>
      <c r="G35" s="210"/>
      <c r="H35" s="210"/>
      <c r="I35" s="208"/>
      <c r="J35" s="625">
        <f t="shared" si="11"/>
        <v>0</v>
      </c>
      <c r="K35" s="626">
        <f t="shared" si="12"/>
        <v>0</v>
      </c>
      <c r="L35" s="627">
        <f t="shared" si="13"/>
        <v>0</v>
      </c>
      <c r="M35" s="628">
        <f t="shared" si="14"/>
        <v>0</v>
      </c>
      <c r="N35" s="192">
        <f t="shared" si="8"/>
        <v>0</v>
      </c>
      <c r="O35" s="190">
        <f t="shared" si="9"/>
        <v>0</v>
      </c>
      <c r="P35" s="190">
        <f t="shared" si="10"/>
        <v>0</v>
      </c>
      <c r="Q35" s="191">
        <f t="shared" si="7"/>
        <v>0</v>
      </c>
    </row>
    <row r="36" spans="2:17" ht="12.75">
      <c r="B36" s="41" t="s">
        <v>16</v>
      </c>
      <c r="C36" s="82"/>
      <c r="D36" s="56"/>
      <c r="E36" s="156"/>
      <c r="F36" s="158"/>
      <c r="G36" s="57"/>
      <c r="H36" s="57"/>
      <c r="I36" s="153"/>
      <c r="J36" s="629">
        <v>2.5</v>
      </c>
      <c r="K36" s="57">
        <v>0.2</v>
      </c>
      <c r="L36" s="57">
        <v>100</v>
      </c>
      <c r="M36" s="632">
        <v>12</v>
      </c>
      <c r="N36" s="633">
        <f aca="true" t="shared" si="15" ref="N36:N54">$D36*J36</f>
        <v>0</v>
      </c>
      <c r="O36" s="231">
        <f t="shared" si="9"/>
        <v>0</v>
      </c>
      <c r="P36" s="231">
        <f t="shared" si="10"/>
        <v>0</v>
      </c>
      <c r="Q36" s="232">
        <f aca="true" t="shared" si="16" ref="Q36:Q54">$D36*M36</f>
        <v>0</v>
      </c>
    </row>
    <row r="37" spans="2:17" ht="12.75">
      <c r="B37" s="78"/>
      <c r="C37" s="84"/>
      <c r="D37" s="60"/>
      <c r="E37" s="157"/>
      <c r="F37" s="159"/>
      <c r="G37" s="61"/>
      <c r="H37" s="61"/>
      <c r="I37" s="155"/>
      <c r="J37" s="182"/>
      <c r="K37" s="61"/>
      <c r="L37" s="61"/>
      <c r="M37" s="154"/>
      <c r="N37" s="152">
        <f t="shared" si="15"/>
        <v>0</v>
      </c>
      <c r="O37" s="64">
        <f t="shared" si="9"/>
        <v>0</v>
      </c>
      <c r="P37" s="64">
        <f t="shared" si="10"/>
        <v>0</v>
      </c>
      <c r="Q37" s="65">
        <f t="shared" si="16"/>
        <v>0</v>
      </c>
    </row>
    <row r="38" spans="2:17" ht="12.75">
      <c r="B38" s="78"/>
      <c r="C38" s="84"/>
      <c r="D38" s="60"/>
      <c r="E38" s="157"/>
      <c r="F38" s="159"/>
      <c r="G38" s="61"/>
      <c r="H38" s="61"/>
      <c r="I38" s="155"/>
      <c r="J38" s="182"/>
      <c r="K38" s="61"/>
      <c r="L38" s="61"/>
      <c r="M38" s="154"/>
      <c r="N38" s="152">
        <f t="shared" si="15"/>
        <v>0</v>
      </c>
      <c r="O38" s="64">
        <f t="shared" si="9"/>
        <v>0</v>
      </c>
      <c r="P38" s="64">
        <f t="shared" si="10"/>
        <v>0</v>
      </c>
      <c r="Q38" s="65">
        <f t="shared" si="16"/>
        <v>0</v>
      </c>
    </row>
    <row r="39" spans="2:17" ht="12.75">
      <c r="B39" s="78"/>
      <c r="C39" s="84"/>
      <c r="D39" s="60"/>
      <c r="E39" s="157"/>
      <c r="F39" s="159"/>
      <c r="G39" s="61"/>
      <c r="H39" s="61"/>
      <c r="I39" s="155"/>
      <c r="J39" s="182"/>
      <c r="K39" s="61"/>
      <c r="L39" s="61"/>
      <c r="M39" s="154"/>
      <c r="N39" s="152">
        <f t="shared" si="15"/>
        <v>0</v>
      </c>
      <c r="O39" s="64">
        <f t="shared" si="9"/>
        <v>0</v>
      </c>
      <c r="P39" s="64">
        <f t="shared" si="10"/>
        <v>0</v>
      </c>
      <c r="Q39" s="65">
        <f t="shared" si="16"/>
        <v>0</v>
      </c>
    </row>
    <row r="40" spans="2:17" ht="13.5" thickBot="1">
      <c r="B40" s="131"/>
      <c r="C40" s="193"/>
      <c r="D40" s="624"/>
      <c r="E40" s="211"/>
      <c r="F40" s="212"/>
      <c r="G40" s="210"/>
      <c r="H40" s="210"/>
      <c r="I40" s="208"/>
      <c r="J40" s="625"/>
      <c r="K40" s="210"/>
      <c r="L40" s="210"/>
      <c r="M40" s="628"/>
      <c r="N40" s="192">
        <f t="shared" si="15"/>
        <v>0</v>
      </c>
      <c r="O40" s="190">
        <f t="shared" si="9"/>
        <v>0</v>
      </c>
      <c r="P40" s="190">
        <f t="shared" si="10"/>
        <v>0</v>
      </c>
      <c r="Q40" s="191">
        <f t="shared" si="16"/>
        <v>0</v>
      </c>
    </row>
    <row r="41" spans="2:17" ht="12.75">
      <c r="B41" s="41" t="s">
        <v>17</v>
      </c>
      <c r="C41" s="82"/>
      <c r="D41" s="56"/>
      <c r="E41" s="156"/>
      <c r="F41" s="158"/>
      <c r="G41" s="57"/>
      <c r="H41" s="57"/>
      <c r="I41" s="153"/>
      <c r="J41" s="181">
        <v>4.6</v>
      </c>
      <c r="K41" s="57">
        <v>0.7</v>
      </c>
      <c r="L41" s="57">
        <v>100</v>
      </c>
      <c r="M41" s="632">
        <v>39</v>
      </c>
      <c r="N41" s="633">
        <f t="shared" si="15"/>
        <v>0</v>
      </c>
      <c r="O41" s="231">
        <f t="shared" si="9"/>
        <v>0</v>
      </c>
      <c r="P41" s="231">
        <f t="shared" si="10"/>
        <v>0</v>
      </c>
      <c r="Q41" s="232">
        <f t="shared" si="16"/>
        <v>0</v>
      </c>
    </row>
    <row r="42" spans="2:17" ht="12.75">
      <c r="B42" s="144"/>
      <c r="C42" s="186"/>
      <c r="D42" s="161"/>
      <c r="E42" s="162"/>
      <c r="F42" s="163"/>
      <c r="G42" s="164"/>
      <c r="H42" s="61"/>
      <c r="I42" s="155"/>
      <c r="J42" s="184"/>
      <c r="K42" s="164"/>
      <c r="L42" s="164"/>
      <c r="M42" s="623"/>
      <c r="N42" s="166">
        <f t="shared" si="15"/>
        <v>0</v>
      </c>
      <c r="O42" s="167">
        <f t="shared" si="9"/>
        <v>0</v>
      </c>
      <c r="P42" s="167">
        <f t="shared" si="10"/>
        <v>0</v>
      </c>
      <c r="Q42" s="168">
        <f t="shared" si="16"/>
        <v>0</v>
      </c>
    </row>
    <row r="43" spans="2:17" ht="12.75">
      <c r="B43" s="144"/>
      <c r="C43" s="186"/>
      <c r="D43" s="161"/>
      <c r="E43" s="162"/>
      <c r="F43" s="163"/>
      <c r="G43" s="164"/>
      <c r="H43" s="61"/>
      <c r="I43" s="155"/>
      <c r="J43" s="184"/>
      <c r="K43" s="164"/>
      <c r="L43" s="164"/>
      <c r="M43" s="623"/>
      <c r="N43" s="166">
        <f t="shared" si="15"/>
        <v>0</v>
      </c>
      <c r="O43" s="167">
        <f t="shared" si="9"/>
        <v>0</v>
      </c>
      <c r="P43" s="167">
        <f t="shared" si="10"/>
        <v>0</v>
      </c>
      <c r="Q43" s="168">
        <f t="shared" si="16"/>
        <v>0</v>
      </c>
    </row>
    <row r="44" spans="2:17" ht="12.75">
      <c r="B44" s="144"/>
      <c r="C44" s="186"/>
      <c r="D44" s="161"/>
      <c r="E44" s="162"/>
      <c r="F44" s="163"/>
      <c r="G44" s="164"/>
      <c r="H44" s="61"/>
      <c r="I44" s="155"/>
      <c r="J44" s="184"/>
      <c r="K44" s="164"/>
      <c r="L44" s="164"/>
      <c r="M44" s="623"/>
      <c r="N44" s="166">
        <f t="shared" si="15"/>
        <v>0</v>
      </c>
      <c r="O44" s="167">
        <f t="shared" si="9"/>
        <v>0</v>
      </c>
      <c r="P44" s="167">
        <f t="shared" si="10"/>
        <v>0</v>
      </c>
      <c r="Q44" s="168">
        <f t="shared" si="16"/>
        <v>0</v>
      </c>
    </row>
    <row r="45" spans="2:17" ht="12.75">
      <c r="B45" s="144"/>
      <c r="C45" s="186"/>
      <c r="D45" s="161"/>
      <c r="E45" s="162"/>
      <c r="F45" s="163"/>
      <c r="G45" s="164"/>
      <c r="H45" s="61"/>
      <c r="I45" s="155"/>
      <c r="J45" s="184"/>
      <c r="K45" s="164"/>
      <c r="L45" s="164"/>
      <c r="M45" s="623"/>
      <c r="N45" s="166">
        <f t="shared" si="15"/>
        <v>0</v>
      </c>
      <c r="O45" s="167">
        <f t="shared" si="9"/>
        <v>0</v>
      </c>
      <c r="P45" s="167">
        <f t="shared" si="10"/>
        <v>0</v>
      </c>
      <c r="Q45" s="168">
        <f t="shared" si="16"/>
        <v>0</v>
      </c>
    </row>
    <row r="46" spans="2:17" ht="12.75">
      <c r="B46" s="144"/>
      <c r="C46" s="186"/>
      <c r="D46" s="161"/>
      <c r="E46" s="162"/>
      <c r="F46" s="163"/>
      <c r="G46" s="164"/>
      <c r="H46" s="61"/>
      <c r="I46" s="155"/>
      <c r="J46" s="184"/>
      <c r="K46" s="164"/>
      <c r="L46" s="164"/>
      <c r="M46" s="623"/>
      <c r="N46" s="166">
        <f t="shared" si="15"/>
        <v>0</v>
      </c>
      <c r="O46" s="167">
        <f t="shared" si="9"/>
        <v>0</v>
      </c>
      <c r="P46" s="167">
        <f t="shared" si="10"/>
        <v>0</v>
      </c>
      <c r="Q46" s="168">
        <f t="shared" si="16"/>
        <v>0</v>
      </c>
    </row>
    <row r="47" spans="2:17" ht="12.75">
      <c r="B47" s="144"/>
      <c r="C47" s="186"/>
      <c r="D47" s="161"/>
      <c r="E47" s="162"/>
      <c r="F47" s="163"/>
      <c r="G47" s="164"/>
      <c r="H47" s="61"/>
      <c r="I47" s="155"/>
      <c r="J47" s="184"/>
      <c r="K47" s="164"/>
      <c r="L47" s="164"/>
      <c r="M47" s="623"/>
      <c r="N47" s="166">
        <f t="shared" si="15"/>
        <v>0</v>
      </c>
      <c r="O47" s="167">
        <f t="shared" si="9"/>
        <v>0</v>
      </c>
      <c r="P47" s="167">
        <f t="shared" si="10"/>
        <v>0</v>
      </c>
      <c r="Q47" s="168">
        <f t="shared" si="16"/>
        <v>0</v>
      </c>
    </row>
    <row r="48" spans="2:17" ht="12.75">
      <c r="B48" s="144"/>
      <c r="C48" s="186"/>
      <c r="D48" s="161"/>
      <c r="E48" s="162"/>
      <c r="F48" s="163"/>
      <c r="G48" s="164"/>
      <c r="H48" s="61"/>
      <c r="I48" s="155"/>
      <c r="J48" s="184"/>
      <c r="K48" s="164"/>
      <c r="L48" s="164"/>
      <c r="M48" s="623"/>
      <c r="N48" s="166">
        <f t="shared" si="15"/>
        <v>0</v>
      </c>
      <c r="O48" s="167">
        <f t="shared" si="9"/>
        <v>0</v>
      </c>
      <c r="P48" s="167">
        <f t="shared" si="10"/>
        <v>0</v>
      </c>
      <c r="Q48" s="168">
        <f t="shared" si="16"/>
        <v>0</v>
      </c>
    </row>
    <row r="49" spans="2:17" ht="12.75">
      <c r="B49" s="144"/>
      <c r="C49" s="186"/>
      <c r="D49" s="161"/>
      <c r="E49" s="162"/>
      <c r="F49" s="163"/>
      <c r="G49" s="164"/>
      <c r="H49" s="61"/>
      <c r="I49" s="155"/>
      <c r="J49" s="184"/>
      <c r="K49" s="164"/>
      <c r="L49" s="164"/>
      <c r="M49" s="623"/>
      <c r="N49" s="166">
        <f t="shared" si="15"/>
        <v>0</v>
      </c>
      <c r="O49" s="167">
        <f t="shared" si="9"/>
        <v>0</v>
      </c>
      <c r="P49" s="167">
        <f t="shared" si="10"/>
        <v>0</v>
      </c>
      <c r="Q49" s="168">
        <f t="shared" si="16"/>
        <v>0</v>
      </c>
    </row>
    <row r="50" spans="2:17" ht="13.5" thickBot="1">
      <c r="B50" s="131"/>
      <c r="C50" s="193"/>
      <c r="D50" s="624"/>
      <c r="E50" s="211"/>
      <c r="F50" s="212"/>
      <c r="G50" s="210"/>
      <c r="H50" s="210"/>
      <c r="I50" s="208"/>
      <c r="J50" s="209"/>
      <c r="K50" s="210"/>
      <c r="L50" s="210"/>
      <c r="M50" s="628"/>
      <c r="N50" s="192">
        <f t="shared" si="15"/>
        <v>0</v>
      </c>
      <c r="O50" s="190">
        <f t="shared" si="9"/>
        <v>0</v>
      </c>
      <c r="P50" s="190">
        <f t="shared" si="10"/>
        <v>0</v>
      </c>
      <c r="Q50" s="191">
        <f t="shared" si="16"/>
        <v>0</v>
      </c>
    </row>
    <row r="51" spans="2:17" ht="13.5" thickBot="1">
      <c r="B51" s="196" t="s">
        <v>18</v>
      </c>
      <c r="C51" s="635"/>
      <c r="D51" s="636"/>
      <c r="E51" s="637"/>
      <c r="F51" s="638"/>
      <c r="G51" s="639"/>
      <c r="H51" s="639"/>
      <c r="I51" s="641"/>
      <c r="J51" s="640">
        <v>12.8</v>
      </c>
      <c r="K51" s="639">
        <v>0.5</v>
      </c>
      <c r="L51" s="639">
        <v>155</v>
      </c>
      <c r="M51" s="641"/>
      <c r="N51" s="642">
        <f t="shared" si="15"/>
        <v>0</v>
      </c>
      <c r="O51" s="643">
        <f t="shared" si="9"/>
        <v>0</v>
      </c>
      <c r="P51" s="643">
        <f t="shared" si="10"/>
        <v>0</v>
      </c>
      <c r="Q51" s="644">
        <f t="shared" si="16"/>
        <v>0</v>
      </c>
    </row>
    <row r="52" spans="2:17" ht="13.5" thickBot="1">
      <c r="B52" s="196" t="s">
        <v>39</v>
      </c>
      <c r="C52" s="635"/>
      <c r="D52" s="636"/>
      <c r="E52" s="637"/>
      <c r="F52" s="638"/>
      <c r="G52" s="639"/>
      <c r="H52" s="890"/>
      <c r="I52" s="891"/>
      <c r="J52" s="640"/>
      <c r="K52" s="640"/>
      <c r="L52" s="639"/>
      <c r="M52" s="641"/>
      <c r="N52" s="642"/>
      <c r="O52" s="643"/>
      <c r="P52" s="643"/>
      <c r="Q52" s="644"/>
    </row>
    <row r="53" spans="2:17" ht="13.5" thickBot="1">
      <c r="B53" s="196" t="s">
        <v>311</v>
      </c>
      <c r="C53" s="635"/>
      <c r="D53" s="636"/>
      <c r="E53" s="637"/>
      <c r="F53" s="638"/>
      <c r="G53" s="639"/>
      <c r="H53" s="890"/>
      <c r="I53" s="891"/>
      <c r="J53" s="640">
        <f>'Secondary Sources'!C109</f>
        <v>0</v>
      </c>
      <c r="K53" s="640">
        <f>'Secondary Sources'!D109</f>
        <v>0</v>
      </c>
      <c r="L53" s="639">
        <f>'Secondary Sources'!E109</f>
        <v>0</v>
      </c>
      <c r="M53" s="641">
        <f>'Secondary Sources'!F109</f>
        <v>0</v>
      </c>
      <c r="N53" s="642"/>
      <c r="O53" s="643"/>
      <c r="P53" s="643"/>
      <c r="Q53" s="644"/>
    </row>
    <row r="54" spans="2:17" ht="13.5" thickBot="1">
      <c r="B54" s="169" t="s">
        <v>138</v>
      </c>
      <c r="C54" s="187"/>
      <c r="D54" s="170">
        <f>SUM(D10:D53)</f>
        <v>0</v>
      </c>
      <c r="E54" s="171" t="e">
        <f>SUMPRODUCT(D11:D51,E11:E51)/$C63</f>
        <v>#DIV/0!</v>
      </c>
      <c r="F54" s="170"/>
      <c r="G54" s="172"/>
      <c r="H54" s="888"/>
      <c r="I54" s="889"/>
      <c r="J54" s="185" t="e">
        <f>SUMPRODUCT($D11:$D51,J11:J51)/$C63</f>
        <v>#DIV/0!</v>
      </c>
      <c r="K54" s="185" t="e">
        <f>SUMPRODUCT($D11:$D51,K11:K51)/$C63</f>
        <v>#DIV/0!</v>
      </c>
      <c r="L54" s="172" t="e">
        <f>SUMPRODUCT($D11:$D51,L11:L51)/$C63</f>
        <v>#DIV/0!</v>
      </c>
      <c r="M54" s="173" t="e">
        <f>SUMPRODUCT($D11:$D51,M11:M51)/$C63</f>
        <v>#DIV/0!</v>
      </c>
      <c r="N54" s="174" t="e">
        <f t="shared" si="15"/>
        <v>#DIV/0!</v>
      </c>
      <c r="O54" s="175" t="e">
        <f t="shared" si="9"/>
        <v>#DIV/0!</v>
      </c>
      <c r="P54" s="175" t="e">
        <f t="shared" si="10"/>
        <v>#DIV/0!</v>
      </c>
      <c r="Q54" s="176" t="e">
        <f t="shared" si="16"/>
        <v>#DIV/0!</v>
      </c>
    </row>
    <row r="55" spans="2:17" ht="12" customHeight="1" thickTop="1"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415"/>
      <c r="O55" s="415"/>
      <c r="P55" s="415"/>
      <c r="Q55" s="415"/>
    </row>
    <row r="56" spans="2:17" ht="13.5" thickBot="1"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415"/>
      <c r="O56" s="415"/>
      <c r="P56" s="415"/>
      <c r="Q56" s="415"/>
    </row>
    <row r="57" spans="2:17" ht="21.75" thickBot="1" thickTop="1">
      <c r="B57" s="188" t="s">
        <v>266</v>
      </c>
      <c r="C57" s="16"/>
      <c r="D57" s="443"/>
      <c r="E57" s="443"/>
      <c r="F57" s="444"/>
      <c r="G57" s="220"/>
      <c r="H57" s="220"/>
      <c r="I57" s="220"/>
      <c r="J57" s="220"/>
      <c r="K57" s="220"/>
      <c r="L57" s="220"/>
      <c r="M57" s="220"/>
      <c r="N57" s="415"/>
      <c r="O57" s="415"/>
      <c r="P57" s="415"/>
      <c r="Q57" s="415"/>
    </row>
    <row r="58" spans="2:17" ht="12.75">
      <c r="B58" s="7" t="s">
        <v>246</v>
      </c>
      <c r="C58" s="324" t="s">
        <v>4</v>
      </c>
      <c r="D58" s="42" t="s">
        <v>5</v>
      </c>
      <c r="E58" s="42" t="s">
        <v>6</v>
      </c>
      <c r="F58" s="43" t="s">
        <v>8</v>
      </c>
      <c r="G58" s="220"/>
      <c r="H58" s="220"/>
      <c r="I58" s="220"/>
      <c r="J58" s="220"/>
      <c r="K58" s="220"/>
      <c r="L58" s="220"/>
      <c r="M58" s="220"/>
      <c r="N58" s="415"/>
      <c r="O58" s="415"/>
      <c r="P58" s="415"/>
      <c r="Q58" s="415"/>
    </row>
    <row r="59" spans="2:17" ht="13.5" thickBot="1">
      <c r="B59" s="8" t="s">
        <v>247</v>
      </c>
      <c r="C59" s="121">
        <v>0.5</v>
      </c>
      <c r="D59" s="325">
        <v>0.7</v>
      </c>
      <c r="E59" s="325">
        <v>0.9</v>
      </c>
      <c r="F59" s="120">
        <v>1</v>
      </c>
      <c r="G59" s="220"/>
      <c r="H59" s="220"/>
      <c r="I59" s="220"/>
      <c r="J59" s="220"/>
      <c r="K59" s="220"/>
      <c r="L59" s="220"/>
      <c r="M59" s="220"/>
      <c r="N59" s="415"/>
      <c r="O59" s="415"/>
      <c r="P59" s="415"/>
      <c r="Q59" s="415"/>
    </row>
    <row r="60" spans="2:17" ht="14.25" thickBot="1" thickTop="1">
      <c r="B60" s="220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415"/>
      <c r="O60" s="415"/>
      <c r="P60" s="415"/>
      <c r="Q60" s="415"/>
    </row>
    <row r="61" spans="2:17" ht="21.75" thickBot="1" thickTop="1">
      <c r="B61" s="442" t="s">
        <v>199</v>
      </c>
      <c r="C61" s="444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415"/>
      <c r="O61" s="415"/>
      <c r="P61" s="415"/>
      <c r="Q61" s="415"/>
    </row>
    <row r="62" spans="2:17" ht="12.75">
      <c r="B62" s="41" t="s">
        <v>90</v>
      </c>
      <c r="C62" s="446"/>
      <c r="D62" s="220"/>
      <c r="E62" s="220"/>
      <c r="G62" s="220"/>
      <c r="H62" s="220"/>
      <c r="I62" s="220"/>
      <c r="J62" s="220"/>
      <c r="K62" s="220"/>
      <c r="L62" s="220"/>
      <c r="M62" s="220"/>
      <c r="N62" s="415"/>
      <c r="O62" s="415"/>
      <c r="P62" s="415"/>
      <c r="Q62" s="415"/>
    </row>
    <row r="63" spans="2:17" ht="12.75">
      <c r="B63" s="78" t="s">
        <v>151</v>
      </c>
      <c r="C63" s="74">
        <f>D54</f>
        <v>0</v>
      </c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415"/>
      <c r="O63" s="415"/>
      <c r="P63" s="415"/>
      <c r="Q63" s="415"/>
    </row>
    <row r="64" spans="2:17" ht="12.75">
      <c r="B64" s="78" t="s">
        <v>175</v>
      </c>
      <c r="C64" s="124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415"/>
      <c r="O64" s="415"/>
      <c r="P64" s="415"/>
      <c r="Q64" s="415"/>
    </row>
    <row r="65" spans="2:17" ht="13.5" thickBot="1">
      <c r="B65" s="80" t="s">
        <v>356</v>
      </c>
      <c r="C65" s="128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415"/>
      <c r="O65" s="415"/>
      <c r="P65" s="415"/>
      <c r="Q65" s="415"/>
    </row>
    <row r="66" spans="14:17" ht="13.5" thickTop="1">
      <c r="N66" s="415"/>
      <c r="O66" s="415"/>
      <c r="P66" s="415"/>
      <c r="Q66" s="415"/>
    </row>
    <row r="67" spans="14:17" ht="12.75">
      <c r="N67" s="415"/>
      <c r="O67" s="415"/>
      <c r="P67" s="415"/>
      <c r="Q67" s="415"/>
    </row>
    <row r="68" spans="14:17" ht="12.75">
      <c r="N68" s="415"/>
      <c r="O68" s="415"/>
      <c r="P68" s="415"/>
      <c r="Q68" s="415"/>
    </row>
    <row r="69" spans="14:17" ht="12.75">
      <c r="N69" s="415"/>
      <c r="O69" s="415"/>
      <c r="P69" s="415"/>
      <c r="Q69" s="415"/>
    </row>
    <row r="70" spans="14:17" ht="12.75">
      <c r="N70" s="415"/>
      <c r="O70" s="415"/>
      <c r="P70" s="415"/>
      <c r="Q70" s="415"/>
    </row>
    <row r="71" spans="14:17" ht="12.75">
      <c r="N71" s="415"/>
      <c r="O71" s="415"/>
      <c r="P71" s="415"/>
      <c r="Q71" s="415"/>
    </row>
    <row r="72" spans="14:17" ht="12.75">
      <c r="N72" s="415"/>
      <c r="O72" s="415"/>
      <c r="P72" s="415"/>
      <c r="Q72" s="415"/>
    </row>
    <row r="73" spans="14:17" ht="12.75">
      <c r="N73" s="415"/>
      <c r="O73" s="415"/>
      <c r="P73" s="415"/>
      <c r="Q73" s="415"/>
    </row>
    <row r="74" spans="14:17" ht="12.75">
      <c r="N74" s="415"/>
      <c r="O74" s="415"/>
      <c r="P74" s="415"/>
      <c r="Q74" s="415"/>
    </row>
    <row r="75" spans="14:17" ht="12.75">
      <c r="N75" s="415"/>
      <c r="O75" s="415"/>
      <c r="P75" s="415"/>
      <c r="Q75" s="415"/>
    </row>
    <row r="76" spans="14:17" ht="12.75">
      <c r="N76" s="415"/>
      <c r="O76" s="415"/>
      <c r="P76" s="415"/>
      <c r="Q76" s="415"/>
    </row>
    <row r="77" spans="14:17" ht="12.75">
      <c r="N77" s="415"/>
      <c r="O77" s="415"/>
      <c r="P77" s="415"/>
      <c r="Q77" s="415"/>
    </row>
    <row r="78" spans="14:17" ht="12.75">
      <c r="N78" s="415"/>
      <c r="O78" s="415"/>
      <c r="P78" s="415"/>
      <c r="Q78" s="415"/>
    </row>
    <row r="79" spans="14:17" ht="12.75">
      <c r="N79" s="415"/>
      <c r="O79" s="415"/>
      <c r="P79" s="415"/>
      <c r="Q79" s="415"/>
    </row>
    <row r="80" spans="14:17" ht="12.75">
      <c r="N80" s="415"/>
      <c r="O80" s="415"/>
      <c r="P80" s="415"/>
      <c r="Q80" s="415"/>
    </row>
    <row r="81" spans="14:17" ht="12.75">
      <c r="N81" s="415"/>
      <c r="O81" s="415"/>
      <c r="P81" s="415"/>
      <c r="Q81" s="415"/>
    </row>
    <row r="82" spans="14:17" ht="12.75">
      <c r="N82" s="415"/>
      <c r="O82" s="415"/>
      <c r="P82" s="415"/>
      <c r="Q82" s="415"/>
    </row>
    <row r="83" spans="14:17" ht="12.75">
      <c r="N83" s="415"/>
      <c r="O83" s="415"/>
      <c r="P83" s="415"/>
      <c r="Q83" s="415"/>
    </row>
    <row r="84" spans="14:17" ht="12.75">
      <c r="N84" s="415"/>
      <c r="O84" s="415"/>
      <c r="P84" s="415"/>
      <c r="Q84" s="415"/>
    </row>
    <row r="85" spans="14:17" ht="12.75">
      <c r="N85" s="415"/>
      <c r="O85" s="415"/>
      <c r="P85" s="415"/>
      <c r="Q85" s="415"/>
    </row>
    <row r="86" spans="14:17" ht="12.75">
      <c r="N86" s="415"/>
      <c r="O86" s="415"/>
      <c r="P86" s="415"/>
      <c r="Q86" s="415"/>
    </row>
    <row r="87" spans="14:17" ht="12.75">
      <c r="N87" s="415"/>
      <c r="O87" s="415"/>
      <c r="P87" s="415"/>
      <c r="Q87" s="415"/>
    </row>
    <row r="88" spans="14:17" ht="12.75">
      <c r="N88" s="415"/>
      <c r="O88" s="415"/>
      <c r="P88" s="415"/>
      <c r="Q88" s="415"/>
    </row>
    <row r="89" spans="14:17" ht="12.75">
      <c r="N89" s="415"/>
      <c r="O89" s="415"/>
      <c r="P89" s="415"/>
      <c r="Q89" s="415"/>
    </row>
    <row r="90" spans="14:17" ht="12.75">
      <c r="N90" s="415"/>
      <c r="O90" s="415"/>
      <c r="P90" s="415"/>
      <c r="Q90" s="415"/>
    </row>
    <row r="91" spans="14:17" ht="12.75">
      <c r="N91" s="415"/>
      <c r="O91" s="415"/>
      <c r="P91" s="415"/>
      <c r="Q91" s="415"/>
    </row>
    <row r="92" spans="14:17" ht="12.75">
      <c r="N92" s="415"/>
      <c r="O92" s="415"/>
      <c r="P92" s="415"/>
      <c r="Q92" s="415"/>
    </row>
    <row r="93" spans="14:17" ht="12.75">
      <c r="N93" s="415"/>
      <c r="O93" s="415"/>
      <c r="P93" s="415"/>
      <c r="Q93" s="415"/>
    </row>
    <row r="94" spans="14:17" ht="12.75">
      <c r="N94" s="415"/>
      <c r="O94" s="415"/>
      <c r="P94" s="415"/>
      <c r="Q94" s="415"/>
    </row>
    <row r="95" spans="14:17" ht="12.75">
      <c r="N95" s="415"/>
      <c r="O95" s="415"/>
      <c r="P95" s="415"/>
      <c r="Q95" s="415"/>
    </row>
    <row r="96" spans="14:17" ht="12.75">
      <c r="N96" s="415"/>
      <c r="O96" s="415"/>
      <c r="P96" s="415"/>
      <c r="Q96" s="415"/>
    </row>
    <row r="97" spans="14:17" ht="12.75">
      <c r="N97" s="415"/>
      <c r="O97" s="415"/>
      <c r="P97" s="415"/>
      <c r="Q97" s="415"/>
    </row>
    <row r="98" spans="14:17" ht="12.75">
      <c r="N98" s="415"/>
      <c r="O98" s="415"/>
      <c r="P98" s="415"/>
      <c r="Q98" s="415"/>
    </row>
    <row r="99" spans="14:17" ht="12.75">
      <c r="N99" s="415"/>
      <c r="O99" s="415"/>
      <c r="P99" s="415"/>
      <c r="Q99" s="415"/>
    </row>
    <row r="100" spans="14:17" ht="12.75">
      <c r="N100" s="415"/>
      <c r="O100" s="415"/>
      <c r="P100" s="415"/>
      <c r="Q100" s="415"/>
    </row>
    <row r="101" spans="14:17" ht="12.75">
      <c r="N101" s="415"/>
      <c r="O101" s="415"/>
      <c r="P101" s="415"/>
      <c r="Q101" s="415"/>
    </row>
    <row r="102" spans="14:17" ht="12.75">
      <c r="N102" s="415"/>
      <c r="O102" s="415"/>
      <c r="P102" s="415"/>
      <c r="Q102" s="415"/>
    </row>
    <row r="103" spans="14:17" ht="12.75">
      <c r="N103" s="415"/>
      <c r="O103" s="415"/>
      <c r="P103" s="415"/>
      <c r="Q103" s="415"/>
    </row>
    <row r="104" spans="14:17" ht="12.75">
      <c r="N104" s="415"/>
      <c r="O104" s="415"/>
      <c r="P104" s="415"/>
      <c r="Q104" s="415"/>
    </row>
    <row r="105" spans="14:17" ht="12.75">
      <c r="N105" s="415"/>
      <c r="O105" s="415"/>
      <c r="P105" s="415"/>
      <c r="Q105" s="415"/>
    </row>
    <row r="106" spans="14:17" ht="12.75">
      <c r="N106" s="415"/>
      <c r="O106" s="415"/>
      <c r="P106" s="415"/>
      <c r="Q106" s="415"/>
    </row>
    <row r="107" spans="14:17" ht="12.75">
      <c r="N107" s="415"/>
      <c r="O107" s="415"/>
      <c r="P107" s="415"/>
      <c r="Q107" s="415"/>
    </row>
    <row r="108" spans="14:17" ht="12.75">
      <c r="N108" s="415"/>
      <c r="O108" s="415"/>
      <c r="P108" s="415"/>
      <c r="Q108" s="415"/>
    </row>
    <row r="109" spans="14:17" ht="12.75">
      <c r="N109" s="415"/>
      <c r="O109" s="415"/>
      <c r="P109" s="415"/>
      <c r="Q109" s="415"/>
    </row>
    <row r="110" spans="14:17" ht="12.75">
      <c r="N110" s="415"/>
      <c r="O110" s="415"/>
      <c r="P110" s="415"/>
      <c r="Q110" s="415"/>
    </row>
    <row r="111" spans="14:17" ht="12.75">
      <c r="N111" s="415"/>
      <c r="O111" s="415"/>
      <c r="P111" s="415"/>
      <c r="Q111" s="415"/>
    </row>
    <row r="112" spans="14:17" ht="12.75">
      <c r="N112" s="415"/>
      <c r="O112" s="415"/>
      <c r="P112" s="415"/>
      <c r="Q112" s="415"/>
    </row>
    <row r="113" spans="14:17" ht="12.75">
      <c r="N113" s="415"/>
      <c r="O113" s="415"/>
      <c r="P113" s="415"/>
      <c r="Q113" s="415"/>
    </row>
    <row r="114" spans="14:17" ht="12.75">
      <c r="N114" s="415"/>
      <c r="O114" s="415"/>
      <c r="P114" s="415"/>
      <c r="Q114" s="415"/>
    </row>
    <row r="115" spans="14:17" ht="12.75">
      <c r="N115" s="415"/>
      <c r="O115" s="415"/>
      <c r="P115" s="415"/>
      <c r="Q115" s="415"/>
    </row>
    <row r="116" spans="14:17" ht="12.75">
      <c r="N116" s="415"/>
      <c r="O116" s="415"/>
      <c r="P116" s="415"/>
      <c r="Q116" s="415"/>
    </row>
    <row r="117" spans="14:17" ht="12.75">
      <c r="N117" s="415"/>
      <c r="O117" s="415"/>
      <c r="P117" s="415"/>
      <c r="Q117" s="415"/>
    </row>
    <row r="118" spans="14:17" ht="12.75">
      <c r="N118" s="415"/>
      <c r="O118" s="415"/>
      <c r="P118" s="415"/>
      <c r="Q118" s="415"/>
    </row>
    <row r="119" spans="14:17" ht="12.75">
      <c r="N119" s="415"/>
      <c r="O119" s="415"/>
      <c r="P119" s="415"/>
      <c r="Q119" s="415"/>
    </row>
    <row r="120" spans="14:17" ht="12.75">
      <c r="N120" s="415"/>
      <c r="O120" s="415"/>
      <c r="P120" s="415"/>
      <c r="Q120" s="415"/>
    </row>
    <row r="121" spans="14:17" ht="12.75">
      <c r="N121" s="415"/>
      <c r="O121" s="415"/>
      <c r="P121" s="415"/>
      <c r="Q121" s="415"/>
    </row>
    <row r="122" spans="14:17" ht="12.75">
      <c r="N122" s="415"/>
      <c r="O122" s="415"/>
      <c r="P122" s="415"/>
      <c r="Q122" s="415"/>
    </row>
    <row r="123" spans="14:17" ht="12.75">
      <c r="N123" s="415"/>
      <c r="O123" s="415"/>
      <c r="P123" s="415"/>
      <c r="Q123" s="415"/>
    </row>
    <row r="124" spans="14:17" ht="12.75">
      <c r="N124" s="415"/>
      <c r="O124" s="415"/>
      <c r="P124" s="415"/>
      <c r="Q124" s="415"/>
    </row>
    <row r="125" spans="14:17" ht="12.75">
      <c r="N125" s="415"/>
      <c r="O125" s="415"/>
      <c r="P125" s="415"/>
      <c r="Q125" s="415"/>
    </row>
    <row r="126" spans="14:17" ht="12.75">
      <c r="N126" s="415"/>
      <c r="O126" s="415"/>
      <c r="P126" s="415"/>
      <c r="Q126" s="415"/>
    </row>
    <row r="127" spans="14:17" ht="12.75">
      <c r="N127" s="415"/>
      <c r="O127" s="415"/>
      <c r="P127" s="415"/>
      <c r="Q127" s="415"/>
    </row>
    <row r="128" spans="14:17" ht="12.75">
      <c r="N128" s="415"/>
      <c r="O128" s="415"/>
      <c r="P128" s="415"/>
      <c r="Q128" s="415"/>
    </row>
    <row r="129" spans="14:17" ht="12.75">
      <c r="N129" s="415"/>
      <c r="O129" s="415"/>
      <c r="P129" s="415"/>
      <c r="Q129" s="415"/>
    </row>
    <row r="130" spans="14:17" ht="12.75">
      <c r="N130" s="415"/>
      <c r="O130" s="415"/>
      <c r="P130" s="415"/>
      <c r="Q130" s="415"/>
    </row>
    <row r="131" spans="14:17" ht="12.75">
      <c r="N131" s="415"/>
      <c r="O131" s="415"/>
      <c r="P131" s="415"/>
      <c r="Q131" s="415"/>
    </row>
    <row r="132" spans="14:17" ht="12.75">
      <c r="N132" s="415"/>
      <c r="O132" s="415"/>
      <c r="P132" s="415"/>
      <c r="Q132" s="415"/>
    </row>
    <row r="133" spans="14:17" ht="12.75">
      <c r="N133" s="415"/>
      <c r="O133" s="415"/>
      <c r="P133" s="415"/>
      <c r="Q133" s="415"/>
    </row>
    <row r="134" spans="14:17" ht="12.75">
      <c r="N134" s="415"/>
      <c r="O134" s="415"/>
      <c r="P134" s="415"/>
      <c r="Q134" s="415"/>
    </row>
    <row r="135" spans="14:17" ht="12.75">
      <c r="N135" s="415"/>
      <c r="O135" s="415"/>
      <c r="P135" s="415"/>
      <c r="Q135" s="415"/>
    </row>
    <row r="136" spans="14:17" ht="12.75">
      <c r="N136" s="415"/>
      <c r="O136" s="415"/>
      <c r="P136" s="415"/>
      <c r="Q136" s="415"/>
    </row>
    <row r="137" spans="14:17" ht="12.75">
      <c r="N137" s="415"/>
      <c r="O137" s="415"/>
      <c r="P137" s="415"/>
      <c r="Q137" s="415"/>
    </row>
    <row r="138" spans="14:17" ht="12.75">
      <c r="N138" s="415"/>
      <c r="O138" s="415"/>
      <c r="P138" s="415"/>
      <c r="Q138" s="415"/>
    </row>
    <row r="139" spans="14:17" ht="12.75">
      <c r="N139" s="415"/>
      <c r="O139" s="415"/>
      <c r="P139" s="415"/>
      <c r="Q139" s="415"/>
    </row>
    <row r="140" spans="14:17" ht="12.75">
      <c r="N140" s="415"/>
      <c r="O140" s="415"/>
      <c r="P140" s="415"/>
      <c r="Q140" s="415"/>
    </row>
    <row r="141" spans="14:17" ht="12.75">
      <c r="N141" s="415"/>
      <c r="O141" s="415"/>
      <c r="P141" s="415"/>
      <c r="Q141" s="415"/>
    </row>
    <row r="142" spans="14:17" ht="12.75">
      <c r="N142" s="415"/>
      <c r="O142" s="415"/>
      <c r="P142" s="415"/>
      <c r="Q142" s="415"/>
    </row>
    <row r="143" spans="14:17" ht="12.75">
      <c r="N143" s="415"/>
      <c r="O143" s="415"/>
      <c r="P143" s="415"/>
      <c r="Q143" s="415"/>
    </row>
    <row r="144" spans="14:17" ht="12.75">
      <c r="N144" s="415"/>
      <c r="O144" s="415"/>
      <c r="P144" s="415"/>
      <c r="Q144" s="415"/>
    </row>
    <row r="145" spans="14:17" ht="12.75">
      <c r="N145" s="415"/>
      <c r="O145" s="415"/>
      <c r="P145" s="415"/>
      <c r="Q145" s="415"/>
    </row>
    <row r="146" spans="14:17" ht="12.75">
      <c r="N146" s="415"/>
      <c r="O146" s="415"/>
      <c r="P146" s="415"/>
      <c r="Q146" s="415"/>
    </row>
    <row r="147" spans="14:17" ht="12.75">
      <c r="N147" s="415"/>
      <c r="O147" s="415"/>
      <c r="P147" s="415"/>
      <c r="Q147" s="415"/>
    </row>
    <row r="148" spans="14:17" ht="12.75">
      <c r="N148" s="415"/>
      <c r="O148" s="415"/>
      <c r="P148" s="415"/>
      <c r="Q148" s="415"/>
    </row>
    <row r="149" spans="14:17" ht="12.75">
      <c r="N149" s="415"/>
      <c r="O149" s="415"/>
      <c r="P149" s="415"/>
      <c r="Q149" s="415"/>
    </row>
    <row r="150" spans="14:17" ht="12.75">
      <c r="N150" s="415"/>
      <c r="O150" s="415"/>
      <c r="P150" s="415"/>
      <c r="Q150" s="415"/>
    </row>
    <row r="151" spans="14:17" ht="12.75">
      <c r="N151" s="415"/>
      <c r="O151" s="415"/>
      <c r="P151" s="415"/>
      <c r="Q151" s="415"/>
    </row>
    <row r="152" spans="14:17" ht="12.75">
      <c r="N152" s="415"/>
      <c r="O152" s="415"/>
      <c r="P152" s="415"/>
      <c r="Q152" s="415"/>
    </row>
    <row r="153" spans="14:17" ht="12.75">
      <c r="N153" s="415"/>
      <c r="O153" s="415"/>
      <c r="P153" s="415"/>
      <c r="Q153" s="415"/>
    </row>
    <row r="154" spans="14:17" ht="12.75">
      <c r="N154" s="415"/>
      <c r="O154" s="415"/>
      <c r="P154" s="415"/>
      <c r="Q154" s="415"/>
    </row>
    <row r="155" spans="14:17" ht="12.75">
      <c r="N155" s="415"/>
      <c r="O155" s="415"/>
      <c r="P155" s="415"/>
      <c r="Q155" s="415"/>
    </row>
    <row r="156" spans="14:17" ht="12.75">
      <c r="N156" s="415"/>
      <c r="O156" s="415"/>
      <c r="P156" s="415"/>
      <c r="Q156" s="415"/>
    </row>
    <row r="157" spans="14:17" ht="12.75">
      <c r="N157" s="415"/>
      <c r="O157" s="415"/>
      <c r="P157" s="415"/>
      <c r="Q157" s="415"/>
    </row>
    <row r="158" spans="14:17" ht="12.75">
      <c r="N158" s="415"/>
      <c r="O158" s="415"/>
      <c r="P158" s="415"/>
      <c r="Q158" s="415"/>
    </row>
    <row r="159" spans="14:17" ht="12.75">
      <c r="N159" s="415"/>
      <c r="O159" s="415"/>
      <c r="P159" s="415"/>
      <c r="Q159" s="415"/>
    </row>
    <row r="160" spans="14:17" ht="12.75">
      <c r="N160" s="415"/>
      <c r="O160" s="415"/>
      <c r="P160" s="415"/>
      <c r="Q160" s="415"/>
    </row>
    <row r="161" spans="14:17" ht="12.75">
      <c r="N161" s="415"/>
      <c r="O161" s="415"/>
      <c r="P161" s="415"/>
      <c r="Q161" s="415"/>
    </row>
    <row r="162" spans="14:17" ht="12.75">
      <c r="N162" s="415"/>
      <c r="O162" s="415"/>
      <c r="P162" s="415"/>
      <c r="Q162" s="415"/>
    </row>
    <row r="163" spans="14:17" ht="12.75">
      <c r="N163" s="415"/>
      <c r="O163" s="415"/>
      <c r="P163" s="415"/>
      <c r="Q163" s="415"/>
    </row>
    <row r="164" spans="14:17" ht="12.75">
      <c r="N164" s="415"/>
      <c r="O164" s="415"/>
      <c r="P164" s="415"/>
      <c r="Q164" s="415"/>
    </row>
    <row r="165" spans="14:17" ht="12.75">
      <c r="N165" s="415"/>
      <c r="O165" s="415"/>
      <c r="P165" s="415"/>
      <c r="Q165" s="415"/>
    </row>
    <row r="166" spans="14:17" ht="12.75">
      <c r="N166" s="415"/>
      <c r="O166" s="415"/>
      <c r="P166" s="415"/>
      <c r="Q166" s="415"/>
    </row>
    <row r="167" spans="14:17" ht="12.75">
      <c r="N167" s="415"/>
      <c r="O167" s="415"/>
      <c r="P167" s="415"/>
      <c r="Q167" s="415"/>
    </row>
    <row r="168" spans="14:17" ht="12.75">
      <c r="N168" s="415"/>
      <c r="O168" s="415"/>
      <c r="P168" s="415"/>
      <c r="Q168" s="415"/>
    </row>
    <row r="169" spans="14:17" ht="12.75">
      <c r="N169" s="415"/>
      <c r="O169" s="415"/>
      <c r="P169" s="415"/>
      <c r="Q169" s="415"/>
    </row>
    <row r="170" spans="14:17" ht="12.75">
      <c r="N170" s="415"/>
      <c r="O170" s="415"/>
      <c r="P170" s="415"/>
      <c r="Q170" s="415"/>
    </row>
    <row r="171" spans="14:17" ht="12.75">
      <c r="N171" s="415"/>
      <c r="O171" s="415"/>
      <c r="P171" s="415"/>
      <c r="Q171" s="415"/>
    </row>
    <row r="172" spans="14:17" ht="12.75">
      <c r="N172" s="415"/>
      <c r="O172" s="415"/>
      <c r="P172" s="415"/>
      <c r="Q172" s="415"/>
    </row>
    <row r="173" spans="14:17" ht="12.75">
      <c r="N173" s="415"/>
      <c r="O173" s="415"/>
      <c r="P173" s="415"/>
      <c r="Q173" s="415"/>
    </row>
    <row r="174" spans="14:17" ht="12.75">
      <c r="N174" s="415"/>
      <c r="O174" s="415"/>
      <c r="P174" s="415"/>
      <c r="Q174" s="415"/>
    </row>
    <row r="175" spans="14:17" ht="12.75">
      <c r="N175" s="415"/>
      <c r="O175" s="415"/>
      <c r="P175" s="415"/>
      <c r="Q175" s="415"/>
    </row>
    <row r="176" spans="14:17" ht="12.75">
      <c r="N176" s="415"/>
      <c r="O176" s="415"/>
      <c r="P176" s="415"/>
      <c r="Q176" s="415"/>
    </row>
    <row r="177" spans="14:17" ht="12.75">
      <c r="N177" s="415"/>
      <c r="O177" s="415"/>
      <c r="P177" s="415"/>
      <c r="Q177" s="415"/>
    </row>
    <row r="178" spans="14:17" ht="12.75">
      <c r="N178" s="415"/>
      <c r="O178" s="415"/>
      <c r="P178" s="415"/>
      <c r="Q178" s="415"/>
    </row>
    <row r="179" spans="14:17" ht="12.75">
      <c r="N179" s="415"/>
      <c r="O179" s="415"/>
      <c r="P179" s="415"/>
      <c r="Q179" s="415"/>
    </row>
    <row r="180" spans="14:17" ht="12.75">
      <c r="N180" s="415"/>
      <c r="O180" s="415"/>
      <c r="P180" s="415"/>
      <c r="Q180" s="415"/>
    </row>
    <row r="181" spans="14:17" ht="12.75">
      <c r="N181" s="415"/>
      <c r="O181" s="415"/>
      <c r="P181" s="415"/>
      <c r="Q181" s="415"/>
    </row>
    <row r="182" spans="14:17" ht="12.75">
      <c r="N182" s="415"/>
      <c r="O182" s="415"/>
      <c r="P182" s="415"/>
      <c r="Q182" s="415"/>
    </row>
    <row r="183" spans="14:17" ht="12.75">
      <c r="N183" s="415"/>
      <c r="O183" s="415"/>
      <c r="P183" s="415"/>
      <c r="Q183" s="415"/>
    </row>
    <row r="184" spans="14:17" ht="12.75">
      <c r="N184" s="415"/>
      <c r="O184" s="415"/>
      <c r="P184" s="415"/>
      <c r="Q184" s="415"/>
    </row>
    <row r="185" spans="14:17" ht="12.75">
      <c r="N185" s="415"/>
      <c r="O185" s="415"/>
      <c r="P185" s="415"/>
      <c r="Q185" s="415"/>
    </row>
    <row r="186" spans="14:17" ht="12.75">
      <c r="N186" s="415"/>
      <c r="O186" s="415"/>
      <c r="P186" s="415"/>
      <c r="Q186" s="415"/>
    </row>
    <row r="187" spans="14:17" ht="12.75">
      <c r="N187" s="415"/>
      <c r="O187" s="415"/>
      <c r="P187" s="415"/>
      <c r="Q187" s="415"/>
    </row>
    <row r="188" spans="14:17" ht="12.75">
      <c r="N188" s="415"/>
      <c r="O188" s="415"/>
      <c r="P188" s="415"/>
      <c r="Q188" s="415"/>
    </row>
    <row r="189" spans="14:17" ht="12.75">
      <c r="N189" s="415"/>
      <c r="O189" s="415"/>
      <c r="P189" s="415"/>
      <c r="Q189" s="415"/>
    </row>
    <row r="190" spans="14:17" ht="12.75">
      <c r="N190" s="415"/>
      <c r="O190" s="415"/>
      <c r="P190" s="415"/>
      <c r="Q190" s="415"/>
    </row>
    <row r="191" spans="14:17" ht="12.75">
      <c r="N191" s="415"/>
      <c r="O191" s="415"/>
      <c r="P191" s="415"/>
      <c r="Q191" s="415"/>
    </row>
    <row r="192" spans="14:17" ht="12.75">
      <c r="N192" s="415"/>
      <c r="O192" s="415"/>
      <c r="P192" s="415"/>
      <c r="Q192" s="415"/>
    </row>
    <row r="193" spans="14:17" ht="12.75">
      <c r="N193" s="415"/>
      <c r="O193" s="415"/>
      <c r="P193" s="415"/>
      <c r="Q193" s="415"/>
    </row>
    <row r="194" spans="14:17" ht="12.75">
      <c r="N194" s="415"/>
      <c r="O194" s="415"/>
      <c r="P194" s="415"/>
      <c r="Q194" s="415"/>
    </row>
    <row r="195" spans="14:17" ht="12.75">
      <c r="N195" s="415"/>
      <c r="O195" s="415"/>
      <c r="P195" s="415"/>
      <c r="Q195" s="415"/>
    </row>
    <row r="196" spans="14:17" ht="12.75">
      <c r="N196" s="415"/>
      <c r="O196" s="415"/>
      <c r="P196" s="415"/>
      <c r="Q196" s="415"/>
    </row>
    <row r="197" spans="14:17" ht="12.75">
      <c r="N197" s="415"/>
      <c r="O197" s="415"/>
      <c r="P197" s="415"/>
      <c r="Q197" s="415"/>
    </row>
    <row r="198" spans="14:17" ht="12.75">
      <c r="N198" s="415"/>
      <c r="O198" s="415"/>
      <c r="P198" s="415"/>
      <c r="Q198" s="415"/>
    </row>
    <row r="199" spans="14:17" ht="12.75">
      <c r="N199" s="415"/>
      <c r="O199" s="415"/>
      <c r="P199" s="415"/>
      <c r="Q199" s="415"/>
    </row>
    <row r="200" spans="14:17" ht="12.75">
      <c r="N200" s="415"/>
      <c r="O200" s="415"/>
      <c r="P200" s="415"/>
      <c r="Q200" s="415"/>
    </row>
    <row r="201" spans="14:17" ht="12.75">
      <c r="N201" s="415"/>
      <c r="O201" s="415"/>
      <c r="P201" s="415"/>
      <c r="Q201" s="415"/>
    </row>
    <row r="202" spans="14:17" ht="12.75">
      <c r="N202" s="415"/>
      <c r="O202" s="415"/>
      <c r="P202" s="415"/>
      <c r="Q202" s="415"/>
    </row>
    <row r="203" spans="14:17" ht="12.75">
      <c r="N203" s="415"/>
      <c r="O203" s="415"/>
      <c r="P203" s="415"/>
      <c r="Q203" s="415"/>
    </row>
    <row r="204" spans="14:17" ht="12.75">
      <c r="N204" s="415"/>
      <c r="O204" s="415"/>
      <c r="P204" s="415"/>
      <c r="Q204" s="415"/>
    </row>
    <row r="205" spans="14:17" ht="12.75">
      <c r="N205" s="415"/>
      <c r="O205" s="415"/>
      <c r="P205" s="415"/>
      <c r="Q205" s="415"/>
    </row>
    <row r="206" spans="14:17" ht="12.75">
      <c r="N206" s="415"/>
      <c r="O206" s="415"/>
      <c r="P206" s="415"/>
      <c r="Q206" s="415"/>
    </row>
    <row r="207" spans="14:17" ht="12.75">
      <c r="N207" s="415"/>
      <c r="O207" s="415"/>
      <c r="P207" s="415"/>
      <c r="Q207" s="415"/>
    </row>
    <row r="208" spans="14:17" ht="12.75">
      <c r="N208" s="415"/>
      <c r="O208" s="415"/>
      <c r="P208" s="415"/>
      <c r="Q208" s="415"/>
    </row>
    <row r="209" spans="14:17" ht="12.75">
      <c r="N209" s="415"/>
      <c r="O209" s="415"/>
      <c r="P209" s="415"/>
      <c r="Q209" s="415"/>
    </row>
    <row r="210" spans="14:17" ht="12.75">
      <c r="N210" s="415"/>
      <c r="O210" s="415"/>
      <c r="P210" s="415"/>
      <c r="Q210" s="415"/>
    </row>
    <row r="211" spans="14:17" ht="12.75">
      <c r="N211" s="415"/>
      <c r="O211" s="415"/>
      <c r="P211" s="415"/>
      <c r="Q211" s="415"/>
    </row>
    <row r="212" spans="14:17" ht="12.75">
      <c r="N212" s="415"/>
      <c r="O212" s="415"/>
      <c r="P212" s="415"/>
      <c r="Q212" s="415"/>
    </row>
    <row r="213" spans="14:17" ht="12.75">
      <c r="N213" s="415"/>
      <c r="O213" s="415"/>
      <c r="P213" s="415"/>
      <c r="Q213" s="415"/>
    </row>
    <row r="214" spans="14:17" ht="12.75">
      <c r="N214" s="415"/>
      <c r="O214" s="415"/>
      <c r="P214" s="415"/>
      <c r="Q214" s="415"/>
    </row>
    <row r="215" spans="14:17" ht="12.75">
      <c r="N215" s="415"/>
      <c r="O215" s="415"/>
      <c r="P215" s="415"/>
      <c r="Q215" s="415"/>
    </row>
    <row r="216" spans="14:17" ht="12.75">
      <c r="N216" s="415"/>
      <c r="O216" s="415"/>
      <c r="P216" s="415"/>
      <c r="Q216" s="415"/>
    </row>
    <row r="217" spans="14:17" ht="12.75">
      <c r="N217" s="415"/>
      <c r="O217" s="415"/>
      <c r="P217" s="415"/>
      <c r="Q217" s="415"/>
    </row>
    <row r="218" spans="14:17" ht="12.75">
      <c r="N218" s="415"/>
      <c r="O218" s="415"/>
      <c r="P218" s="415"/>
      <c r="Q218" s="415"/>
    </row>
    <row r="219" spans="14:17" ht="12.75">
      <c r="N219" s="415"/>
      <c r="O219" s="415"/>
      <c r="P219" s="415"/>
      <c r="Q219" s="415"/>
    </row>
    <row r="220" spans="14:17" ht="12.75">
      <c r="N220" s="415"/>
      <c r="O220" s="415"/>
      <c r="P220" s="415"/>
      <c r="Q220" s="415"/>
    </row>
    <row r="221" spans="14:17" ht="12.75">
      <c r="N221" s="415"/>
      <c r="O221" s="415"/>
      <c r="P221" s="415"/>
      <c r="Q221" s="415"/>
    </row>
    <row r="222" spans="14:17" ht="12.75">
      <c r="N222" s="415"/>
      <c r="O222" s="415"/>
      <c r="P222" s="415"/>
      <c r="Q222" s="415"/>
    </row>
    <row r="223" spans="14:17" ht="12.75">
      <c r="N223" s="415"/>
      <c r="O223" s="415"/>
      <c r="P223" s="415"/>
      <c r="Q223" s="415"/>
    </row>
    <row r="224" spans="14:17" ht="12.75">
      <c r="N224" s="415"/>
      <c r="O224" s="415"/>
      <c r="P224" s="415"/>
      <c r="Q224" s="415"/>
    </row>
    <row r="225" spans="14:17" ht="12.75">
      <c r="N225" s="415"/>
      <c r="O225" s="415"/>
      <c r="P225" s="415"/>
      <c r="Q225" s="415"/>
    </row>
    <row r="226" spans="14:17" ht="12.75">
      <c r="N226" s="415"/>
      <c r="O226" s="415"/>
      <c r="P226" s="415"/>
      <c r="Q226" s="415"/>
    </row>
    <row r="227" spans="14:17" ht="12.75">
      <c r="N227" s="415"/>
      <c r="O227" s="415"/>
      <c r="P227" s="415"/>
      <c r="Q227" s="415"/>
    </row>
    <row r="228" spans="14:17" ht="12.75">
      <c r="N228" s="415"/>
      <c r="O228" s="415"/>
      <c r="P228" s="415"/>
      <c r="Q228" s="415"/>
    </row>
    <row r="229" spans="14:17" ht="12.75">
      <c r="N229" s="415"/>
      <c r="O229" s="415"/>
      <c r="P229" s="415"/>
      <c r="Q229" s="415"/>
    </row>
    <row r="230" spans="14:17" ht="12.75">
      <c r="N230" s="415"/>
      <c r="O230" s="415"/>
      <c r="P230" s="415"/>
      <c r="Q230" s="415"/>
    </row>
    <row r="231" spans="14:17" ht="12.75">
      <c r="N231" s="415"/>
      <c r="O231" s="415"/>
      <c r="P231" s="415"/>
      <c r="Q231" s="415"/>
    </row>
    <row r="232" spans="14:17" ht="12.75">
      <c r="N232" s="415"/>
      <c r="O232" s="415"/>
      <c r="P232" s="415"/>
      <c r="Q232" s="415"/>
    </row>
    <row r="233" spans="14:17" ht="12.75">
      <c r="N233" s="415"/>
      <c r="O233" s="415"/>
      <c r="P233" s="415"/>
      <c r="Q233" s="415"/>
    </row>
    <row r="234" spans="14:17" ht="12.75">
      <c r="N234" s="415"/>
      <c r="O234" s="415"/>
      <c r="P234" s="415"/>
      <c r="Q234" s="415"/>
    </row>
    <row r="235" spans="14:17" ht="12.75">
      <c r="N235" s="415"/>
      <c r="O235" s="415"/>
      <c r="P235" s="415"/>
      <c r="Q235" s="415"/>
    </row>
    <row r="236" spans="14:17" ht="12.75">
      <c r="N236" s="415"/>
      <c r="O236" s="415"/>
      <c r="P236" s="415"/>
      <c r="Q236" s="415"/>
    </row>
    <row r="237" spans="14:17" ht="12.75">
      <c r="N237" s="415"/>
      <c r="O237" s="415"/>
      <c r="P237" s="415"/>
      <c r="Q237" s="415"/>
    </row>
    <row r="238" spans="14:17" ht="12.75">
      <c r="N238" s="415"/>
      <c r="O238" s="415"/>
      <c r="P238" s="415"/>
      <c r="Q238" s="415"/>
    </row>
    <row r="239" spans="14:17" ht="12.75">
      <c r="N239" s="415"/>
      <c r="O239" s="415"/>
      <c r="P239" s="415"/>
      <c r="Q239" s="415"/>
    </row>
    <row r="240" spans="14:17" ht="12.75">
      <c r="N240" s="415"/>
      <c r="O240" s="415"/>
      <c r="P240" s="415"/>
      <c r="Q240" s="415"/>
    </row>
    <row r="241" spans="14:17" ht="12.75">
      <c r="N241" s="415"/>
      <c r="O241" s="415"/>
      <c r="P241" s="415"/>
      <c r="Q241" s="415"/>
    </row>
    <row r="242" spans="14:17" ht="12.75">
      <c r="N242" s="415"/>
      <c r="O242" s="415"/>
      <c r="P242" s="415"/>
      <c r="Q242" s="415"/>
    </row>
    <row r="243" spans="14:17" ht="12.75">
      <c r="N243" s="415"/>
      <c r="O243" s="415"/>
      <c r="P243" s="415"/>
      <c r="Q243" s="415"/>
    </row>
    <row r="244" spans="14:17" ht="12.75">
      <c r="N244" s="415"/>
      <c r="O244" s="415"/>
      <c r="P244" s="415"/>
      <c r="Q244" s="415"/>
    </row>
    <row r="245" spans="14:17" ht="12.75">
      <c r="N245" s="415"/>
      <c r="O245" s="415"/>
      <c r="P245" s="415"/>
      <c r="Q245" s="415"/>
    </row>
    <row r="246" spans="14:17" ht="12.75">
      <c r="N246" s="415"/>
      <c r="O246" s="415"/>
      <c r="P246" s="415"/>
      <c r="Q246" s="415"/>
    </row>
    <row r="247" spans="14:17" ht="12.75">
      <c r="N247" s="415"/>
      <c r="O247" s="415"/>
      <c r="P247" s="415"/>
      <c r="Q247" s="415"/>
    </row>
    <row r="248" spans="14:17" ht="12.75">
      <c r="N248" s="415"/>
      <c r="O248" s="415"/>
      <c r="P248" s="415"/>
      <c r="Q248" s="415"/>
    </row>
    <row r="249" spans="14:17" ht="12.75">
      <c r="N249" s="415"/>
      <c r="O249" s="415"/>
      <c r="P249" s="415"/>
      <c r="Q249" s="415"/>
    </row>
    <row r="250" spans="14:17" ht="12.75">
      <c r="N250" s="415"/>
      <c r="O250" s="415"/>
      <c r="P250" s="415"/>
      <c r="Q250" s="415"/>
    </row>
    <row r="251" spans="14:17" ht="12.75">
      <c r="N251" s="415"/>
      <c r="O251" s="415"/>
      <c r="P251" s="415"/>
      <c r="Q251" s="415"/>
    </row>
    <row r="252" spans="14:17" ht="12.75">
      <c r="N252" s="415"/>
      <c r="O252" s="415"/>
      <c r="P252" s="415"/>
      <c r="Q252" s="415"/>
    </row>
    <row r="253" spans="14:17" ht="12.75">
      <c r="N253" s="415"/>
      <c r="O253" s="415"/>
      <c r="P253" s="415"/>
      <c r="Q253" s="415"/>
    </row>
    <row r="254" spans="14:17" ht="12.75">
      <c r="N254" s="415"/>
      <c r="O254" s="415"/>
      <c r="P254" s="415"/>
      <c r="Q254" s="415"/>
    </row>
    <row r="255" spans="14:17" ht="12.75">
      <c r="N255" s="415"/>
      <c r="O255" s="415"/>
      <c r="P255" s="415"/>
      <c r="Q255" s="415"/>
    </row>
    <row r="256" spans="14:17" ht="12.75">
      <c r="N256" s="415"/>
      <c r="O256" s="415"/>
      <c r="P256" s="415"/>
      <c r="Q256" s="415"/>
    </row>
    <row r="257" spans="14:17" ht="12.75">
      <c r="N257" s="415"/>
      <c r="O257" s="415"/>
      <c r="P257" s="415"/>
      <c r="Q257" s="415"/>
    </row>
    <row r="258" spans="14:17" ht="12.75">
      <c r="N258" s="415"/>
      <c r="O258" s="415"/>
      <c r="P258" s="415"/>
      <c r="Q258" s="415"/>
    </row>
    <row r="259" spans="14:17" ht="12.75">
      <c r="N259" s="415"/>
      <c r="O259" s="415"/>
      <c r="P259" s="415"/>
      <c r="Q259" s="415"/>
    </row>
    <row r="260" spans="14:17" ht="12.75">
      <c r="N260" s="415"/>
      <c r="O260" s="415"/>
      <c r="P260" s="415"/>
      <c r="Q260" s="415"/>
    </row>
    <row r="261" spans="14:17" ht="12.75">
      <c r="N261" s="415"/>
      <c r="O261" s="415"/>
      <c r="P261" s="415"/>
      <c r="Q261" s="415"/>
    </row>
    <row r="262" spans="14:17" ht="12.75">
      <c r="N262" s="415"/>
      <c r="O262" s="415"/>
      <c r="P262" s="415"/>
      <c r="Q262" s="415"/>
    </row>
    <row r="263" spans="14:17" ht="12.75">
      <c r="N263" s="415"/>
      <c r="O263" s="415"/>
      <c r="P263" s="415"/>
      <c r="Q263" s="415"/>
    </row>
    <row r="264" spans="14:17" ht="12.75">
      <c r="N264" s="415"/>
      <c r="O264" s="415"/>
      <c r="P264" s="415"/>
      <c r="Q264" s="415"/>
    </row>
    <row r="265" spans="14:17" ht="12.75">
      <c r="N265" s="415"/>
      <c r="O265" s="415"/>
      <c r="P265" s="415"/>
      <c r="Q265" s="415"/>
    </row>
    <row r="266" spans="14:17" ht="12.75">
      <c r="N266" s="415"/>
      <c r="O266" s="415"/>
      <c r="P266" s="415"/>
      <c r="Q266" s="415"/>
    </row>
    <row r="267" spans="14:17" ht="12.75">
      <c r="N267" s="415"/>
      <c r="O267" s="415"/>
      <c r="P267" s="415"/>
      <c r="Q267" s="415"/>
    </row>
    <row r="268" spans="14:17" ht="12.75">
      <c r="N268" s="415"/>
      <c r="O268" s="415"/>
      <c r="P268" s="415"/>
      <c r="Q268" s="415"/>
    </row>
    <row r="269" spans="14:17" ht="12.75">
      <c r="N269" s="415"/>
      <c r="O269" s="415"/>
      <c r="P269" s="415"/>
      <c r="Q269" s="415"/>
    </row>
    <row r="270" spans="14:17" ht="12.75">
      <c r="N270" s="415"/>
      <c r="O270" s="415"/>
      <c r="P270" s="415"/>
      <c r="Q270" s="415"/>
    </row>
    <row r="271" spans="14:17" ht="12.75">
      <c r="N271" s="415"/>
      <c r="O271" s="415"/>
      <c r="P271" s="415"/>
      <c r="Q271" s="415"/>
    </row>
    <row r="272" spans="14:17" ht="12.75">
      <c r="N272" s="415"/>
      <c r="O272" s="415"/>
      <c r="P272" s="415"/>
      <c r="Q272" s="415"/>
    </row>
    <row r="273" spans="14:17" ht="12.75">
      <c r="N273" s="415"/>
      <c r="O273" s="415"/>
      <c r="P273" s="415"/>
      <c r="Q273" s="415"/>
    </row>
    <row r="274" spans="14:17" ht="12.75">
      <c r="N274" s="415"/>
      <c r="O274" s="415"/>
      <c r="P274" s="415"/>
      <c r="Q274" s="415"/>
    </row>
    <row r="275" spans="14:17" ht="12.75">
      <c r="N275" s="415"/>
      <c r="O275" s="415"/>
      <c r="P275" s="415"/>
      <c r="Q275" s="415"/>
    </row>
    <row r="276" spans="14:17" ht="12.75">
      <c r="N276" s="415"/>
      <c r="O276" s="415"/>
      <c r="P276" s="415"/>
      <c r="Q276" s="415"/>
    </row>
    <row r="277" spans="14:17" ht="12.75">
      <c r="N277" s="415"/>
      <c r="O277" s="415"/>
      <c r="P277" s="415"/>
      <c r="Q277" s="415"/>
    </row>
    <row r="278" spans="14:17" ht="12.75">
      <c r="N278" s="415"/>
      <c r="O278" s="415"/>
      <c r="P278" s="415"/>
      <c r="Q278" s="415"/>
    </row>
    <row r="279" spans="14:17" ht="12.75">
      <c r="N279" s="415"/>
      <c r="O279" s="415"/>
      <c r="P279" s="415"/>
      <c r="Q279" s="415"/>
    </row>
    <row r="280" spans="14:17" ht="12.75">
      <c r="N280" s="415"/>
      <c r="O280" s="415"/>
      <c r="P280" s="415"/>
      <c r="Q280" s="415"/>
    </row>
    <row r="281" spans="14:17" ht="12.75">
      <c r="N281" s="415"/>
      <c r="O281" s="415"/>
      <c r="P281" s="415"/>
      <c r="Q281" s="415"/>
    </row>
    <row r="282" spans="14:17" ht="12.75">
      <c r="N282" s="415"/>
      <c r="O282" s="415"/>
      <c r="P282" s="415"/>
      <c r="Q282" s="415"/>
    </row>
    <row r="283" spans="14:17" ht="12.75">
      <c r="N283" s="415"/>
      <c r="O283" s="415"/>
      <c r="P283" s="415"/>
      <c r="Q283" s="415"/>
    </row>
    <row r="284" spans="14:17" ht="12.75">
      <c r="N284" s="415"/>
      <c r="O284" s="415"/>
      <c r="P284" s="415"/>
      <c r="Q284" s="415"/>
    </row>
    <row r="285" spans="14:17" ht="12.75">
      <c r="N285" s="415"/>
      <c r="O285" s="415"/>
      <c r="P285" s="415"/>
      <c r="Q285" s="415"/>
    </row>
    <row r="286" spans="14:17" ht="12.75">
      <c r="N286" s="415"/>
      <c r="O286" s="415"/>
      <c r="P286" s="415"/>
      <c r="Q286" s="415"/>
    </row>
    <row r="287" spans="14:17" ht="12.75">
      <c r="N287" s="415"/>
      <c r="O287" s="415"/>
      <c r="P287" s="415"/>
      <c r="Q287" s="415"/>
    </row>
    <row r="288" spans="14:17" ht="12.75">
      <c r="N288" s="415"/>
      <c r="O288" s="415"/>
      <c r="P288" s="415"/>
      <c r="Q288" s="415"/>
    </row>
    <row r="289" spans="14:17" ht="12.75">
      <c r="N289" s="415"/>
      <c r="O289" s="415"/>
      <c r="P289" s="415"/>
      <c r="Q289" s="415"/>
    </row>
    <row r="290" spans="14:17" ht="12.75">
      <c r="N290" s="415"/>
      <c r="O290" s="415"/>
      <c r="P290" s="415"/>
      <c r="Q290" s="415"/>
    </row>
    <row r="291" spans="14:17" ht="12.75">
      <c r="N291" s="415"/>
      <c r="O291" s="415"/>
      <c r="P291" s="415"/>
      <c r="Q291" s="415"/>
    </row>
    <row r="292" spans="14:17" ht="12.75">
      <c r="N292" s="415"/>
      <c r="O292" s="415"/>
      <c r="P292" s="415"/>
      <c r="Q292" s="415"/>
    </row>
    <row r="293" spans="14:17" ht="12.75">
      <c r="N293" s="415"/>
      <c r="O293" s="415"/>
      <c r="P293" s="415"/>
      <c r="Q293" s="415"/>
    </row>
    <row r="294" spans="14:17" ht="12.75">
      <c r="N294" s="415"/>
      <c r="O294" s="415"/>
      <c r="P294" s="415"/>
      <c r="Q294" s="415"/>
    </row>
    <row r="295" spans="14:17" ht="12.75">
      <c r="N295" s="415"/>
      <c r="O295" s="415"/>
      <c r="P295" s="415"/>
      <c r="Q295" s="415"/>
    </row>
    <row r="296" spans="14:17" ht="12.75">
      <c r="N296" s="415"/>
      <c r="O296" s="415"/>
      <c r="P296" s="415"/>
      <c r="Q296" s="415"/>
    </row>
    <row r="297" spans="14:17" ht="12.75">
      <c r="N297" s="415"/>
      <c r="O297" s="415"/>
      <c r="P297" s="415"/>
      <c r="Q297" s="415"/>
    </row>
    <row r="298" spans="14:17" ht="12.75">
      <c r="N298" s="415"/>
      <c r="O298" s="415"/>
      <c r="P298" s="415"/>
      <c r="Q298" s="415"/>
    </row>
    <row r="299" spans="14:17" ht="12.75">
      <c r="N299" s="415"/>
      <c r="O299" s="415"/>
      <c r="P299" s="415"/>
      <c r="Q299" s="415"/>
    </row>
    <row r="300" spans="14:17" ht="12.75">
      <c r="N300" s="415"/>
      <c r="O300" s="415"/>
      <c r="P300" s="415"/>
      <c r="Q300" s="415"/>
    </row>
    <row r="301" spans="14:17" ht="12.75">
      <c r="N301" s="415"/>
      <c r="O301" s="415"/>
      <c r="P301" s="415"/>
      <c r="Q301" s="415"/>
    </row>
    <row r="302" spans="14:17" ht="12.75">
      <c r="N302" s="415"/>
      <c r="O302" s="415"/>
      <c r="P302" s="415"/>
      <c r="Q302" s="415"/>
    </row>
    <row r="303" spans="14:17" ht="12.75">
      <c r="N303" s="415"/>
      <c r="O303" s="415"/>
      <c r="P303" s="415"/>
      <c r="Q303" s="415"/>
    </row>
    <row r="304" spans="14:17" ht="12.75">
      <c r="N304" s="415"/>
      <c r="O304" s="415"/>
      <c r="P304" s="415"/>
      <c r="Q304" s="415"/>
    </row>
    <row r="305" spans="14:17" ht="12.75">
      <c r="N305" s="415"/>
      <c r="O305" s="415"/>
      <c r="P305" s="415"/>
      <c r="Q305" s="415"/>
    </row>
    <row r="306" spans="14:17" ht="12.75">
      <c r="N306" s="415"/>
      <c r="O306" s="415"/>
      <c r="P306" s="415"/>
      <c r="Q306" s="415"/>
    </row>
    <row r="307" spans="14:17" ht="12.75">
      <c r="N307" s="415"/>
      <c r="O307" s="415"/>
      <c r="P307" s="415"/>
      <c r="Q307" s="415"/>
    </row>
    <row r="308" spans="14:17" ht="12.75">
      <c r="N308" s="415"/>
      <c r="O308" s="415"/>
      <c r="P308" s="415"/>
      <c r="Q308" s="415"/>
    </row>
    <row r="309" spans="14:17" ht="12.75">
      <c r="N309" s="415"/>
      <c r="O309" s="415"/>
      <c r="P309" s="415"/>
      <c r="Q309" s="415"/>
    </row>
    <row r="310" spans="14:17" ht="12.75">
      <c r="N310" s="415"/>
      <c r="O310" s="415"/>
      <c r="P310" s="415"/>
      <c r="Q310" s="415"/>
    </row>
    <row r="311" spans="14:17" ht="12.75">
      <c r="N311" s="415"/>
      <c r="O311" s="415"/>
      <c r="P311" s="415"/>
      <c r="Q311" s="415"/>
    </row>
    <row r="312" spans="14:17" ht="12.75">
      <c r="N312" s="415"/>
      <c r="O312" s="415"/>
      <c r="P312" s="415"/>
      <c r="Q312" s="415"/>
    </row>
    <row r="313" spans="14:17" ht="12.75">
      <c r="N313" s="415"/>
      <c r="O313" s="415"/>
      <c r="P313" s="415"/>
      <c r="Q313" s="415"/>
    </row>
    <row r="314" spans="14:17" ht="12.75">
      <c r="N314" s="415"/>
      <c r="O314" s="415"/>
      <c r="P314" s="415"/>
      <c r="Q314" s="415"/>
    </row>
    <row r="315" spans="14:17" ht="12.75">
      <c r="N315" s="415"/>
      <c r="O315" s="415"/>
      <c r="P315" s="415"/>
      <c r="Q315" s="415"/>
    </row>
    <row r="316" spans="14:17" ht="12.75">
      <c r="N316" s="415"/>
      <c r="O316" s="415"/>
      <c r="P316" s="415"/>
      <c r="Q316" s="415"/>
    </row>
    <row r="317" spans="14:17" ht="12.75">
      <c r="N317" s="415"/>
      <c r="O317" s="415"/>
      <c r="P317" s="415"/>
      <c r="Q317" s="415"/>
    </row>
    <row r="318" spans="14:17" ht="12.75">
      <c r="N318" s="415"/>
      <c r="O318" s="415"/>
      <c r="P318" s="415"/>
      <c r="Q318" s="415"/>
    </row>
    <row r="319" spans="14:17" ht="12.75">
      <c r="N319" s="415"/>
      <c r="O319" s="415"/>
      <c r="P319" s="415"/>
      <c r="Q319" s="415"/>
    </row>
    <row r="320" spans="14:17" ht="12.75">
      <c r="N320" s="415"/>
      <c r="O320" s="415"/>
      <c r="P320" s="415"/>
      <c r="Q320" s="415"/>
    </row>
    <row r="321" spans="14:17" ht="12.75">
      <c r="N321" s="415"/>
      <c r="O321" s="415"/>
      <c r="P321" s="415"/>
      <c r="Q321" s="415"/>
    </row>
    <row r="322" spans="14:17" ht="12.75">
      <c r="N322" s="415"/>
      <c r="O322" s="415"/>
      <c r="P322" s="415"/>
      <c r="Q322" s="415"/>
    </row>
    <row r="323" spans="14:17" ht="12.75">
      <c r="N323" s="415"/>
      <c r="O323" s="415"/>
      <c r="P323" s="415"/>
      <c r="Q323" s="415"/>
    </row>
    <row r="324" spans="14:17" ht="12.75">
      <c r="N324" s="415"/>
      <c r="O324" s="415"/>
      <c r="P324" s="415"/>
      <c r="Q324" s="415"/>
    </row>
    <row r="325" spans="14:17" ht="12.75">
      <c r="N325" s="415"/>
      <c r="O325" s="415"/>
      <c r="P325" s="415"/>
      <c r="Q325" s="415"/>
    </row>
    <row r="326" spans="14:17" ht="12.75">
      <c r="N326" s="415"/>
      <c r="O326" s="415"/>
      <c r="P326" s="415"/>
      <c r="Q326" s="415"/>
    </row>
    <row r="327" spans="14:17" ht="12.75">
      <c r="N327" s="415"/>
      <c r="O327" s="415"/>
      <c r="P327" s="415"/>
      <c r="Q327" s="415"/>
    </row>
    <row r="328" spans="14:17" ht="12.75">
      <c r="N328" s="415"/>
      <c r="O328" s="415"/>
      <c r="P328" s="415"/>
      <c r="Q328" s="415"/>
    </row>
    <row r="329" spans="14:17" ht="12.75">
      <c r="N329" s="415"/>
      <c r="O329" s="415"/>
      <c r="P329" s="415"/>
      <c r="Q329" s="415"/>
    </row>
    <row r="330" spans="14:17" ht="12.75">
      <c r="N330" s="415"/>
      <c r="O330" s="415"/>
      <c r="P330" s="415"/>
      <c r="Q330" s="415"/>
    </row>
    <row r="331" spans="14:17" ht="12.75">
      <c r="N331" s="415"/>
      <c r="O331" s="415"/>
      <c r="P331" s="415"/>
      <c r="Q331" s="415"/>
    </row>
    <row r="332" spans="14:17" ht="12.75">
      <c r="N332" s="415"/>
      <c r="O332" s="415"/>
      <c r="P332" s="415"/>
      <c r="Q332" s="415"/>
    </row>
    <row r="333" spans="14:17" ht="12.75">
      <c r="N333" s="415"/>
      <c r="O333" s="415"/>
      <c r="P333" s="415"/>
      <c r="Q333" s="415"/>
    </row>
    <row r="334" spans="14:17" ht="12.75">
      <c r="N334" s="415"/>
      <c r="O334" s="415"/>
      <c r="P334" s="415"/>
      <c r="Q334" s="415"/>
    </row>
    <row r="335" spans="14:17" ht="12.75">
      <c r="N335" s="415"/>
      <c r="O335" s="415"/>
      <c r="P335" s="415"/>
      <c r="Q335" s="415"/>
    </row>
    <row r="336" spans="14:17" ht="12.75">
      <c r="N336" s="415"/>
      <c r="O336" s="415"/>
      <c r="P336" s="415"/>
      <c r="Q336" s="415"/>
    </row>
    <row r="337" spans="14:17" ht="12.75">
      <c r="N337" s="415"/>
      <c r="O337" s="415"/>
      <c r="P337" s="415"/>
      <c r="Q337" s="415"/>
    </row>
    <row r="338" spans="14:17" ht="12.75">
      <c r="N338" s="415"/>
      <c r="O338" s="415"/>
      <c r="P338" s="415"/>
      <c r="Q338" s="415"/>
    </row>
    <row r="339" spans="14:17" ht="12.75">
      <c r="N339" s="415"/>
      <c r="O339" s="415"/>
      <c r="P339" s="415"/>
      <c r="Q339" s="415"/>
    </row>
    <row r="340" spans="14:17" ht="12.75">
      <c r="N340" s="415"/>
      <c r="O340" s="415"/>
      <c r="P340" s="415"/>
      <c r="Q340" s="415"/>
    </row>
    <row r="341" spans="14:17" ht="12.75">
      <c r="N341" s="415"/>
      <c r="O341" s="415"/>
      <c r="P341" s="415"/>
      <c r="Q341" s="415"/>
    </row>
    <row r="342" spans="14:17" ht="12.75">
      <c r="N342" s="415"/>
      <c r="O342" s="415"/>
      <c r="P342" s="415"/>
      <c r="Q342" s="415"/>
    </row>
    <row r="343" spans="14:17" ht="12.75">
      <c r="N343" s="415"/>
      <c r="O343" s="415"/>
      <c r="P343" s="415"/>
      <c r="Q343" s="415"/>
    </row>
    <row r="344" spans="14:17" ht="12.75">
      <c r="N344" s="415"/>
      <c r="O344" s="415"/>
      <c r="P344" s="415"/>
      <c r="Q344" s="415"/>
    </row>
    <row r="345" spans="14:17" ht="12.75">
      <c r="N345" s="415"/>
      <c r="O345" s="415"/>
      <c r="P345" s="415"/>
      <c r="Q345" s="415"/>
    </row>
    <row r="346" spans="14:17" ht="12.75">
      <c r="N346" s="415"/>
      <c r="O346" s="415"/>
      <c r="P346" s="415"/>
      <c r="Q346" s="415"/>
    </row>
    <row r="347" spans="14:17" ht="12.75">
      <c r="N347" s="415"/>
      <c r="O347" s="415"/>
      <c r="P347" s="415"/>
      <c r="Q347" s="415"/>
    </row>
    <row r="348" spans="14:17" ht="12.75">
      <c r="N348" s="415"/>
      <c r="O348" s="415"/>
      <c r="P348" s="415"/>
      <c r="Q348" s="415"/>
    </row>
    <row r="349" spans="14:17" ht="12.75">
      <c r="N349" s="415"/>
      <c r="O349" s="415"/>
      <c r="P349" s="415"/>
      <c r="Q349" s="415"/>
    </row>
    <row r="350" spans="14:17" ht="12.75">
      <c r="N350" s="415"/>
      <c r="O350" s="415"/>
      <c r="P350" s="415"/>
      <c r="Q350" s="415"/>
    </row>
    <row r="351" spans="14:17" ht="12.75">
      <c r="N351" s="415"/>
      <c r="O351" s="415"/>
      <c r="P351" s="415"/>
      <c r="Q351" s="415"/>
    </row>
    <row r="352" spans="14:17" ht="12.75">
      <c r="N352" s="415"/>
      <c r="O352" s="415"/>
      <c r="P352" s="415"/>
      <c r="Q352" s="415"/>
    </row>
    <row r="353" spans="14:17" ht="12.75">
      <c r="N353" s="415"/>
      <c r="O353" s="415"/>
      <c r="P353" s="415"/>
      <c r="Q353" s="415"/>
    </row>
    <row r="354" spans="14:17" ht="12.75">
      <c r="N354" s="415"/>
      <c r="O354" s="415"/>
      <c r="P354" s="415"/>
      <c r="Q354" s="415"/>
    </row>
    <row r="355" spans="14:17" ht="12.75">
      <c r="N355" s="415"/>
      <c r="O355" s="415"/>
      <c r="P355" s="415"/>
      <c r="Q355" s="415"/>
    </row>
    <row r="356" spans="14:17" ht="12.75">
      <c r="N356" s="415"/>
      <c r="O356" s="415"/>
      <c r="P356" s="415"/>
      <c r="Q356" s="415"/>
    </row>
    <row r="357" spans="14:17" ht="12.75">
      <c r="N357" s="415"/>
      <c r="O357" s="415"/>
      <c r="P357" s="415"/>
      <c r="Q357" s="415"/>
    </row>
    <row r="358" spans="14:17" ht="12.75">
      <c r="N358" s="415"/>
      <c r="O358" s="415"/>
      <c r="P358" s="415"/>
      <c r="Q358" s="415"/>
    </row>
    <row r="359" spans="14:17" ht="12.75">
      <c r="N359" s="415"/>
      <c r="O359" s="415"/>
      <c r="P359" s="415"/>
      <c r="Q359" s="415"/>
    </row>
    <row r="360" spans="14:17" ht="12.75">
      <c r="N360" s="415"/>
      <c r="O360" s="415"/>
      <c r="P360" s="415"/>
      <c r="Q360" s="415"/>
    </row>
    <row r="361" spans="14:17" ht="12.75">
      <c r="N361" s="415"/>
      <c r="O361" s="415"/>
      <c r="P361" s="415"/>
      <c r="Q361" s="415"/>
    </row>
    <row r="362" spans="14:17" ht="12.75">
      <c r="N362" s="415"/>
      <c r="O362" s="415"/>
      <c r="P362" s="415"/>
      <c r="Q362" s="415"/>
    </row>
    <row r="363" spans="14:17" ht="12.75">
      <c r="N363" s="415"/>
      <c r="O363" s="415"/>
      <c r="P363" s="415"/>
      <c r="Q363" s="415"/>
    </row>
    <row r="364" spans="14:17" ht="12.75">
      <c r="N364" s="415"/>
      <c r="O364" s="415"/>
      <c r="P364" s="415"/>
      <c r="Q364" s="415"/>
    </row>
    <row r="365" spans="14:17" ht="12.75">
      <c r="N365" s="415"/>
      <c r="O365" s="415"/>
      <c r="P365" s="415"/>
      <c r="Q365" s="415"/>
    </row>
    <row r="366" spans="14:17" ht="12.75">
      <c r="N366" s="415"/>
      <c r="O366" s="415"/>
      <c r="P366" s="415"/>
      <c r="Q366" s="415"/>
    </row>
    <row r="367" spans="14:17" ht="12.75">
      <c r="N367" s="415"/>
      <c r="O367" s="415"/>
      <c r="P367" s="415"/>
      <c r="Q367" s="415"/>
    </row>
    <row r="368" spans="14:17" ht="12.75">
      <c r="N368" s="415"/>
      <c r="O368" s="415"/>
      <c r="P368" s="415"/>
      <c r="Q368" s="415"/>
    </row>
    <row r="369" spans="14:17" ht="12.75">
      <c r="N369" s="415"/>
      <c r="O369" s="415"/>
      <c r="P369" s="415"/>
      <c r="Q369" s="415"/>
    </row>
    <row r="370" spans="14:17" ht="12.75">
      <c r="N370" s="415"/>
      <c r="O370" s="415"/>
      <c r="P370" s="415"/>
      <c r="Q370" s="415"/>
    </row>
    <row r="371" spans="14:17" ht="12.75">
      <c r="N371" s="415"/>
      <c r="O371" s="415"/>
      <c r="P371" s="415"/>
      <c r="Q371" s="415"/>
    </row>
    <row r="372" spans="14:17" ht="12.75">
      <c r="N372" s="415"/>
      <c r="O372" s="415"/>
      <c r="P372" s="415"/>
      <c r="Q372" s="415"/>
    </row>
    <row r="373" spans="14:17" ht="12.75">
      <c r="N373" s="415"/>
      <c r="O373" s="415"/>
      <c r="P373" s="415"/>
      <c r="Q373" s="415"/>
    </row>
    <row r="374" spans="14:17" ht="12.75">
      <c r="N374" s="415"/>
      <c r="O374" s="415"/>
      <c r="P374" s="415"/>
      <c r="Q374" s="415"/>
    </row>
    <row r="375" spans="14:17" ht="12.75">
      <c r="N375" s="415"/>
      <c r="O375" s="415"/>
      <c r="P375" s="415"/>
      <c r="Q375" s="415"/>
    </row>
    <row r="376" spans="14:17" ht="12.75">
      <c r="N376" s="415"/>
      <c r="O376" s="415"/>
      <c r="P376" s="415"/>
      <c r="Q376" s="415"/>
    </row>
    <row r="377" spans="14:17" ht="12.75">
      <c r="N377" s="415"/>
      <c r="O377" s="415"/>
      <c r="P377" s="415"/>
      <c r="Q377" s="415"/>
    </row>
    <row r="378" spans="14:17" ht="12.75">
      <c r="N378" s="415"/>
      <c r="O378" s="415"/>
      <c r="P378" s="415"/>
      <c r="Q378" s="415"/>
    </row>
    <row r="379" spans="14:17" ht="12.75">
      <c r="N379" s="415"/>
      <c r="O379" s="415"/>
      <c r="P379" s="415"/>
      <c r="Q379" s="415"/>
    </row>
    <row r="380" spans="14:17" ht="12.75">
      <c r="N380" s="415"/>
      <c r="O380" s="415"/>
      <c r="P380" s="415"/>
      <c r="Q380" s="415"/>
    </row>
    <row r="381" spans="14:17" ht="12.75">
      <c r="N381" s="415"/>
      <c r="O381" s="415"/>
      <c r="P381" s="415"/>
      <c r="Q381" s="415"/>
    </row>
    <row r="382" spans="14:17" ht="12.75">
      <c r="N382" s="415"/>
      <c r="O382" s="415"/>
      <c r="P382" s="415"/>
      <c r="Q382" s="415"/>
    </row>
    <row r="383" spans="14:17" ht="12.75">
      <c r="N383" s="415"/>
      <c r="O383" s="415"/>
      <c r="P383" s="415"/>
      <c r="Q383" s="415"/>
    </row>
    <row r="384" spans="14:17" ht="12.75">
      <c r="N384" s="415"/>
      <c r="O384" s="415"/>
      <c r="P384" s="415"/>
      <c r="Q384" s="415"/>
    </row>
    <row r="385" spans="14:17" ht="12.75">
      <c r="N385" s="415"/>
      <c r="O385" s="415"/>
      <c r="P385" s="415"/>
      <c r="Q385" s="415"/>
    </row>
    <row r="386" spans="14:17" ht="12.75">
      <c r="N386" s="415"/>
      <c r="O386" s="415"/>
      <c r="P386" s="415"/>
      <c r="Q386" s="415"/>
    </row>
    <row r="387" spans="14:17" ht="12.75">
      <c r="N387" s="415"/>
      <c r="O387" s="415"/>
      <c r="P387" s="415"/>
      <c r="Q387" s="415"/>
    </row>
    <row r="388" spans="14:17" ht="12.75">
      <c r="N388" s="415"/>
      <c r="O388" s="415"/>
      <c r="P388" s="415"/>
      <c r="Q388" s="415"/>
    </row>
    <row r="389" spans="14:17" ht="12.75">
      <c r="N389" s="415"/>
      <c r="O389" s="415"/>
      <c r="P389" s="415"/>
      <c r="Q389" s="415"/>
    </row>
    <row r="390" spans="14:17" ht="12.75">
      <c r="N390" s="415"/>
      <c r="O390" s="415"/>
      <c r="P390" s="415"/>
      <c r="Q390" s="415"/>
    </row>
    <row r="391" spans="14:17" ht="12.75">
      <c r="N391" s="415"/>
      <c r="O391" s="415"/>
      <c r="P391" s="415"/>
      <c r="Q391" s="415"/>
    </row>
    <row r="392" spans="14:17" ht="12.75">
      <c r="N392" s="415"/>
      <c r="O392" s="415"/>
      <c r="P392" s="415"/>
      <c r="Q392" s="415"/>
    </row>
    <row r="393" spans="14:17" ht="12.75">
      <c r="N393" s="415"/>
      <c r="O393" s="415"/>
      <c r="P393" s="415"/>
      <c r="Q393" s="415"/>
    </row>
    <row r="394" spans="14:17" ht="12.75">
      <c r="N394" s="415"/>
      <c r="O394" s="415"/>
      <c r="P394" s="415"/>
      <c r="Q394" s="415"/>
    </row>
    <row r="395" spans="14:17" ht="12.75">
      <c r="N395" s="415"/>
      <c r="O395" s="415"/>
      <c r="P395" s="415"/>
      <c r="Q395" s="415"/>
    </row>
    <row r="396" spans="14:17" ht="12.75">
      <c r="N396" s="415"/>
      <c r="O396" s="415"/>
      <c r="P396" s="415"/>
      <c r="Q396" s="415"/>
    </row>
    <row r="397" spans="14:17" ht="12.75">
      <c r="N397" s="415"/>
      <c r="O397" s="415"/>
      <c r="P397" s="415"/>
      <c r="Q397" s="415"/>
    </row>
    <row r="398" spans="14:17" ht="12.75">
      <c r="N398" s="415"/>
      <c r="O398" s="415"/>
      <c r="P398" s="415"/>
      <c r="Q398" s="415"/>
    </row>
    <row r="399" spans="14:17" ht="12.75">
      <c r="N399" s="415"/>
      <c r="O399" s="415"/>
      <c r="P399" s="415"/>
      <c r="Q399" s="415"/>
    </row>
    <row r="400" spans="14:17" ht="12.75">
      <c r="N400" s="415"/>
      <c r="O400" s="415"/>
      <c r="P400" s="415"/>
      <c r="Q400" s="415"/>
    </row>
    <row r="401" spans="14:17" ht="12.75">
      <c r="N401" s="415"/>
      <c r="O401" s="415"/>
      <c r="P401" s="415"/>
      <c r="Q401" s="415"/>
    </row>
    <row r="402" spans="14:17" ht="12.75">
      <c r="N402" s="415"/>
      <c r="O402" s="415"/>
      <c r="P402" s="415"/>
      <c r="Q402" s="415"/>
    </row>
    <row r="403" spans="14:17" ht="12.75">
      <c r="N403" s="415"/>
      <c r="O403" s="415"/>
      <c r="P403" s="415"/>
      <c r="Q403" s="415"/>
    </row>
    <row r="404" spans="14:17" ht="12.75">
      <c r="N404" s="415"/>
      <c r="O404" s="415"/>
      <c r="P404" s="415"/>
      <c r="Q404" s="415"/>
    </row>
    <row r="405" spans="14:17" ht="12.75">
      <c r="N405" s="415"/>
      <c r="O405" s="415"/>
      <c r="P405" s="415"/>
      <c r="Q405" s="415"/>
    </row>
    <row r="406" spans="14:17" ht="12.75">
      <c r="N406" s="415"/>
      <c r="O406" s="415"/>
      <c r="P406" s="415"/>
      <c r="Q406" s="415"/>
    </row>
    <row r="407" spans="14:17" ht="12.75">
      <c r="N407" s="415"/>
      <c r="O407" s="415"/>
      <c r="P407" s="415"/>
      <c r="Q407" s="415"/>
    </row>
    <row r="408" spans="14:17" ht="12.75">
      <c r="N408" s="415"/>
      <c r="O408" s="415"/>
      <c r="P408" s="415"/>
      <c r="Q408" s="415"/>
    </row>
    <row r="409" spans="14:17" ht="12.75">
      <c r="N409" s="415"/>
      <c r="O409" s="415"/>
      <c r="P409" s="415"/>
      <c r="Q409" s="415"/>
    </row>
    <row r="410" spans="14:17" ht="12.75">
      <c r="N410" s="415"/>
      <c r="O410" s="415"/>
      <c r="P410" s="415"/>
      <c r="Q410" s="415"/>
    </row>
    <row r="411" spans="14:17" ht="12.75">
      <c r="N411" s="415"/>
      <c r="O411" s="415"/>
      <c r="P411" s="415"/>
      <c r="Q411" s="415"/>
    </row>
    <row r="412" spans="14:17" ht="12.75">
      <c r="N412" s="415"/>
      <c r="O412" s="415"/>
      <c r="P412" s="415"/>
      <c r="Q412" s="415"/>
    </row>
    <row r="413" spans="14:17" ht="12.75">
      <c r="N413" s="415"/>
      <c r="O413" s="415"/>
      <c r="P413" s="415"/>
      <c r="Q413" s="415"/>
    </row>
    <row r="414" spans="14:17" ht="12.75">
      <c r="N414" s="415"/>
      <c r="O414" s="415"/>
      <c r="P414" s="415"/>
      <c r="Q414" s="415"/>
    </row>
    <row r="415" spans="14:17" ht="12.75">
      <c r="N415" s="415"/>
      <c r="O415" s="415"/>
      <c r="P415" s="415"/>
      <c r="Q415" s="415"/>
    </row>
    <row r="416" spans="14:17" ht="12.75">
      <c r="N416" s="415"/>
      <c r="O416" s="415"/>
      <c r="P416" s="415"/>
      <c r="Q416" s="415"/>
    </row>
    <row r="417" spans="14:17" ht="12.75">
      <c r="N417" s="415"/>
      <c r="O417" s="415"/>
      <c r="P417" s="415"/>
      <c r="Q417" s="415"/>
    </row>
    <row r="418" spans="14:17" ht="12.75">
      <c r="N418" s="415"/>
      <c r="O418" s="415"/>
      <c r="P418" s="415"/>
      <c r="Q418" s="415"/>
    </row>
    <row r="419" spans="14:17" ht="12.75">
      <c r="N419" s="415"/>
      <c r="O419" s="415"/>
      <c r="P419" s="415"/>
      <c r="Q419" s="415"/>
    </row>
    <row r="420" spans="14:17" ht="12.75">
      <c r="N420" s="415"/>
      <c r="O420" s="415"/>
      <c r="P420" s="415"/>
      <c r="Q420" s="415"/>
    </row>
    <row r="421" spans="14:17" ht="12.75">
      <c r="N421" s="415"/>
      <c r="O421" s="415"/>
      <c r="P421" s="415"/>
      <c r="Q421" s="415"/>
    </row>
    <row r="422" spans="14:17" ht="12.75">
      <c r="N422" s="415"/>
      <c r="O422" s="415"/>
      <c r="P422" s="415"/>
      <c r="Q422" s="415"/>
    </row>
    <row r="423" spans="14:17" ht="12.75">
      <c r="N423" s="415"/>
      <c r="O423" s="415"/>
      <c r="P423" s="415"/>
      <c r="Q423" s="415"/>
    </row>
    <row r="424" spans="14:17" ht="12.75">
      <c r="N424" s="415"/>
      <c r="O424" s="415"/>
      <c r="P424" s="415"/>
      <c r="Q424" s="415"/>
    </row>
    <row r="425" spans="14:17" ht="12.75">
      <c r="N425" s="415"/>
      <c r="O425" s="415"/>
      <c r="P425" s="415"/>
      <c r="Q425" s="415"/>
    </row>
    <row r="426" spans="14:17" ht="12.75">
      <c r="N426" s="415"/>
      <c r="O426" s="415"/>
      <c r="P426" s="415"/>
      <c r="Q426" s="415"/>
    </row>
    <row r="427" spans="14:17" ht="12.75">
      <c r="N427" s="415"/>
      <c r="O427" s="415"/>
      <c r="P427" s="415"/>
      <c r="Q427" s="415"/>
    </row>
    <row r="428" spans="14:17" ht="12.75">
      <c r="N428" s="415"/>
      <c r="O428" s="415"/>
      <c r="P428" s="415"/>
      <c r="Q428" s="415"/>
    </row>
    <row r="429" spans="14:17" ht="12.75">
      <c r="N429" s="415"/>
      <c r="O429" s="415"/>
      <c r="P429" s="415"/>
      <c r="Q429" s="415"/>
    </row>
    <row r="430" spans="14:17" ht="12.75">
      <c r="N430" s="415"/>
      <c r="O430" s="415"/>
      <c r="P430" s="415"/>
      <c r="Q430" s="415"/>
    </row>
    <row r="431" spans="14:17" ht="12.75">
      <c r="N431" s="415"/>
      <c r="O431" s="415"/>
      <c r="P431" s="415"/>
      <c r="Q431" s="415"/>
    </row>
    <row r="432" spans="14:17" ht="12.75">
      <c r="N432" s="415"/>
      <c r="O432" s="415"/>
      <c r="P432" s="415"/>
      <c r="Q432" s="415"/>
    </row>
    <row r="433" spans="14:17" ht="12.75">
      <c r="N433" s="415"/>
      <c r="O433" s="415"/>
      <c r="P433" s="415"/>
      <c r="Q433" s="415"/>
    </row>
    <row r="434" spans="14:17" ht="12.75">
      <c r="N434" s="415"/>
      <c r="O434" s="415"/>
      <c r="P434" s="415"/>
      <c r="Q434" s="415"/>
    </row>
    <row r="435" spans="14:17" ht="12.75">
      <c r="N435" s="415"/>
      <c r="O435" s="415"/>
      <c r="P435" s="415"/>
      <c r="Q435" s="415"/>
    </row>
    <row r="436" spans="14:17" ht="12.75">
      <c r="N436" s="415"/>
      <c r="O436" s="415"/>
      <c r="P436" s="415"/>
      <c r="Q436" s="415"/>
    </row>
    <row r="437" spans="14:17" ht="12.75">
      <c r="N437" s="415"/>
      <c r="O437" s="415"/>
      <c r="P437" s="415"/>
      <c r="Q437" s="415"/>
    </row>
    <row r="438" spans="14:17" ht="12.75">
      <c r="N438" s="415"/>
      <c r="O438" s="415"/>
      <c r="P438" s="415"/>
      <c r="Q438" s="415"/>
    </row>
    <row r="439" spans="14:17" ht="12.75">
      <c r="N439" s="415"/>
      <c r="O439" s="415"/>
      <c r="P439" s="415"/>
      <c r="Q439" s="415"/>
    </row>
    <row r="440" spans="14:17" ht="12.75">
      <c r="N440" s="415"/>
      <c r="O440" s="415"/>
      <c r="P440" s="415"/>
      <c r="Q440" s="415"/>
    </row>
    <row r="441" spans="14:17" ht="12.75">
      <c r="N441" s="415"/>
      <c r="O441" s="415"/>
      <c r="P441" s="415"/>
      <c r="Q441" s="415"/>
    </row>
    <row r="442" spans="14:17" ht="12.75">
      <c r="N442" s="415"/>
      <c r="O442" s="415"/>
      <c r="P442" s="415"/>
      <c r="Q442" s="415"/>
    </row>
    <row r="443" spans="14:17" ht="12.75">
      <c r="N443" s="415"/>
      <c r="O443" s="415"/>
      <c r="P443" s="415"/>
      <c r="Q443" s="415"/>
    </row>
    <row r="444" spans="14:17" ht="12.75">
      <c r="N444" s="415"/>
      <c r="O444" s="415"/>
      <c r="P444" s="415"/>
      <c r="Q444" s="415"/>
    </row>
    <row r="445" spans="14:17" ht="12.75">
      <c r="N445" s="415"/>
      <c r="O445" s="415"/>
      <c r="P445" s="415"/>
      <c r="Q445" s="415"/>
    </row>
    <row r="446" spans="14:17" ht="12.75">
      <c r="N446" s="415"/>
      <c r="O446" s="415"/>
      <c r="P446" s="415"/>
      <c r="Q446" s="415"/>
    </row>
    <row r="447" spans="14:17" ht="12.75">
      <c r="N447" s="415"/>
      <c r="O447" s="415"/>
      <c r="P447" s="415"/>
      <c r="Q447" s="415"/>
    </row>
    <row r="448" spans="14:17" ht="12.75">
      <c r="N448" s="415"/>
      <c r="O448" s="415"/>
      <c r="P448" s="415"/>
      <c r="Q448" s="415"/>
    </row>
    <row r="449" spans="14:17" ht="12.75">
      <c r="N449" s="415"/>
      <c r="O449" s="415"/>
      <c r="P449" s="415"/>
      <c r="Q449" s="415"/>
    </row>
    <row r="450" spans="14:17" ht="12.75">
      <c r="N450" s="415"/>
      <c r="O450" s="415"/>
      <c r="P450" s="415"/>
      <c r="Q450" s="415"/>
    </row>
    <row r="451" spans="14:17" ht="12.75">
      <c r="N451" s="415"/>
      <c r="O451" s="415"/>
      <c r="P451" s="415"/>
      <c r="Q451" s="415"/>
    </row>
    <row r="452" spans="14:17" ht="12.75">
      <c r="N452" s="415"/>
      <c r="O452" s="415"/>
      <c r="P452" s="415"/>
      <c r="Q452" s="415"/>
    </row>
    <row r="453" spans="14:17" ht="12.75">
      <c r="N453" s="415"/>
      <c r="O453" s="415"/>
      <c r="P453" s="415"/>
      <c r="Q453" s="415"/>
    </row>
    <row r="454" spans="14:17" ht="12.75">
      <c r="N454" s="415"/>
      <c r="O454" s="415"/>
      <c r="P454" s="415"/>
      <c r="Q454" s="415"/>
    </row>
    <row r="455" spans="14:17" ht="12.75">
      <c r="N455" s="415"/>
      <c r="O455" s="415"/>
      <c r="P455" s="415"/>
      <c r="Q455" s="415"/>
    </row>
    <row r="456" spans="14:17" ht="12.75">
      <c r="N456" s="415"/>
      <c r="O456" s="415"/>
      <c r="P456" s="415"/>
      <c r="Q456" s="415"/>
    </row>
    <row r="457" spans="14:17" ht="12.75">
      <c r="N457" s="415"/>
      <c r="O457" s="415"/>
      <c r="P457" s="415"/>
      <c r="Q457" s="415"/>
    </row>
    <row r="458" spans="14:17" ht="12.75">
      <c r="N458" s="415"/>
      <c r="O458" s="415"/>
      <c r="P458" s="415"/>
      <c r="Q458" s="415"/>
    </row>
    <row r="459" spans="14:17" ht="12.75">
      <c r="N459" s="415"/>
      <c r="O459" s="415"/>
      <c r="P459" s="415"/>
      <c r="Q459" s="415"/>
    </row>
    <row r="460" spans="14:17" ht="12.75">
      <c r="N460" s="415"/>
      <c r="O460" s="415"/>
      <c r="P460" s="415"/>
      <c r="Q460" s="415"/>
    </row>
    <row r="461" spans="14:17" ht="12.75">
      <c r="N461" s="415"/>
      <c r="O461" s="415"/>
      <c r="P461" s="415"/>
      <c r="Q461" s="415"/>
    </row>
    <row r="462" spans="14:17" ht="12.75">
      <c r="N462" s="415"/>
      <c r="O462" s="415"/>
      <c r="P462" s="415"/>
      <c r="Q462" s="415"/>
    </row>
    <row r="463" spans="14:17" ht="12.75">
      <c r="N463" s="415"/>
      <c r="O463" s="415"/>
      <c r="P463" s="415"/>
      <c r="Q463" s="415"/>
    </row>
    <row r="464" spans="14:17" ht="12.75">
      <c r="N464" s="415"/>
      <c r="O464" s="415"/>
      <c r="P464" s="415"/>
      <c r="Q464" s="415"/>
    </row>
    <row r="465" spans="14:17" ht="12.75">
      <c r="N465" s="415"/>
      <c r="O465" s="415"/>
      <c r="P465" s="415"/>
      <c r="Q465" s="415"/>
    </row>
    <row r="466" spans="14:17" ht="12.75">
      <c r="N466" s="415"/>
      <c r="O466" s="415"/>
      <c r="P466" s="415"/>
      <c r="Q466" s="415"/>
    </row>
    <row r="467" spans="14:17" ht="12.75">
      <c r="N467" s="415"/>
      <c r="O467" s="415"/>
      <c r="P467" s="415"/>
      <c r="Q467" s="415"/>
    </row>
    <row r="468" spans="14:17" ht="12.75">
      <c r="N468" s="415"/>
      <c r="O468" s="415"/>
      <c r="P468" s="415"/>
      <c r="Q468" s="415"/>
    </row>
    <row r="469" spans="14:17" ht="12.75">
      <c r="N469" s="415"/>
      <c r="O469" s="415"/>
      <c r="P469" s="415"/>
      <c r="Q469" s="415"/>
    </row>
    <row r="470" spans="14:17" ht="12.75">
      <c r="N470" s="415"/>
      <c r="O470" s="415"/>
      <c r="P470" s="415"/>
      <c r="Q470" s="415"/>
    </row>
    <row r="471" spans="14:17" ht="12.75">
      <c r="N471" s="415"/>
      <c r="O471" s="415"/>
      <c r="P471" s="415"/>
      <c r="Q471" s="415"/>
    </row>
    <row r="472" spans="14:17" ht="12.75">
      <c r="N472" s="415"/>
      <c r="O472" s="415"/>
      <c r="P472" s="415"/>
      <c r="Q472" s="415"/>
    </row>
    <row r="473" spans="14:17" ht="12.75">
      <c r="N473" s="415"/>
      <c r="O473" s="415"/>
      <c r="P473" s="415"/>
      <c r="Q473" s="415"/>
    </row>
    <row r="474" spans="14:17" ht="12.75">
      <c r="N474" s="415"/>
      <c r="O474" s="415"/>
      <c r="P474" s="415"/>
      <c r="Q474" s="415"/>
    </row>
    <row r="475" spans="14:17" ht="12.75">
      <c r="N475" s="415"/>
      <c r="O475" s="415"/>
      <c r="P475" s="415"/>
      <c r="Q475" s="415"/>
    </row>
    <row r="476" spans="14:17" ht="12.75">
      <c r="N476" s="415"/>
      <c r="O476" s="415"/>
      <c r="P476" s="415"/>
      <c r="Q476" s="415"/>
    </row>
    <row r="477" spans="14:17" ht="12.75">
      <c r="N477" s="415"/>
      <c r="O477" s="415"/>
      <c r="P477" s="415"/>
      <c r="Q477" s="415"/>
    </row>
    <row r="478" spans="14:17" ht="12.75">
      <c r="N478" s="415"/>
      <c r="O478" s="415"/>
      <c r="P478" s="415"/>
      <c r="Q478" s="415"/>
    </row>
    <row r="479" spans="14:17" ht="12.75">
      <c r="N479" s="415"/>
      <c r="O479" s="415"/>
      <c r="P479" s="415"/>
      <c r="Q479" s="415"/>
    </row>
    <row r="480" spans="14:17" ht="12.75">
      <c r="N480" s="415"/>
      <c r="O480" s="415"/>
      <c r="P480" s="415"/>
      <c r="Q480" s="415"/>
    </row>
    <row r="481" spans="14:17" ht="12.75">
      <c r="N481" s="415"/>
      <c r="O481" s="415"/>
      <c r="P481" s="415"/>
      <c r="Q481" s="415"/>
    </row>
    <row r="482" spans="14:17" ht="12.75">
      <c r="N482" s="415"/>
      <c r="O482" s="415"/>
      <c r="P482" s="415"/>
      <c r="Q482" s="415"/>
    </row>
    <row r="483" spans="14:17" ht="12.75">
      <c r="N483" s="415"/>
      <c r="O483" s="415"/>
      <c r="P483" s="415"/>
      <c r="Q483" s="415"/>
    </row>
    <row r="484" spans="14:17" ht="12.75">
      <c r="N484" s="415"/>
      <c r="O484" s="415"/>
      <c r="P484" s="415"/>
      <c r="Q484" s="415"/>
    </row>
    <row r="485" spans="14:17" ht="12.75">
      <c r="N485" s="415"/>
      <c r="O485" s="415"/>
      <c r="P485" s="415"/>
      <c r="Q485" s="415"/>
    </row>
    <row r="486" spans="14:17" ht="12.75">
      <c r="N486" s="415"/>
      <c r="O486" s="415"/>
      <c r="P486" s="415"/>
      <c r="Q486" s="415"/>
    </row>
    <row r="487" spans="14:17" ht="12.75">
      <c r="N487" s="415"/>
      <c r="O487" s="415"/>
      <c r="P487" s="415"/>
      <c r="Q487" s="415"/>
    </row>
    <row r="488" spans="14:17" ht="12.75">
      <c r="N488" s="415"/>
      <c r="O488" s="415"/>
      <c r="P488" s="415"/>
      <c r="Q488" s="415"/>
    </row>
    <row r="489" spans="14:17" ht="12.75">
      <c r="N489" s="415"/>
      <c r="O489" s="415"/>
      <c r="P489" s="415"/>
      <c r="Q489" s="415"/>
    </row>
    <row r="490" spans="14:17" ht="12.75">
      <c r="N490" s="415"/>
      <c r="O490" s="415"/>
      <c r="P490" s="415"/>
      <c r="Q490" s="415"/>
    </row>
    <row r="491" spans="14:17" ht="12.75">
      <c r="N491" s="415"/>
      <c r="O491" s="415"/>
      <c r="P491" s="415"/>
      <c r="Q491" s="415"/>
    </row>
    <row r="492" spans="14:17" ht="12.75">
      <c r="N492" s="415"/>
      <c r="O492" s="415"/>
      <c r="P492" s="415"/>
      <c r="Q492" s="415"/>
    </row>
    <row r="493" spans="14:17" ht="12.75">
      <c r="N493" s="415"/>
      <c r="O493" s="415"/>
      <c r="P493" s="415"/>
      <c r="Q493" s="415"/>
    </row>
    <row r="494" spans="14:17" ht="12.75">
      <c r="N494" s="415"/>
      <c r="O494" s="415"/>
      <c r="P494" s="415"/>
      <c r="Q494" s="415"/>
    </row>
    <row r="495" spans="14:17" ht="12.75">
      <c r="N495" s="415"/>
      <c r="O495" s="415"/>
      <c r="P495" s="415"/>
      <c r="Q495" s="415"/>
    </row>
    <row r="496" spans="14:17" ht="12.75">
      <c r="N496" s="415"/>
      <c r="O496" s="415"/>
      <c r="P496" s="415"/>
      <c r="Q496" s="415"/>
    </row>
    <row r="497" spans="14:17" ht="12.75">
      <c r="N497" s="415"/>
      <c r="O497" s="415"/>
      <c r="P497" s="415"/>
      <c r="Q497" s="415"/>
    </row>
    <row r="498" spans="14:17" ht="12.75">
      <c r="N498" s="415"/>
      <c r="O498" s="415"/>
      <c r="P498" s="415"/>
      <c r="Q498" s="415"/>
    </row>
    <row r="499" spans="14:17" ht="12.75">
      <c r="N499" s="415"/>
      <c r="O499" s="415"/>
      <c r="P499" s="415"/>
      <c r="Q499" s="415"/>
    </row>
    <row r="500" spans="14:17" ht="12.75">
      <c r="N500" s="415"/>
      <c r="O500" s="415"/>
      <c r="P500" s="415"/>
      <c r="Q500" s="415"/>
    </row>
    <row r="501" spans="14:17" ht="12.75">
      <c r="N501" s="415"/>
      <c r="O501" s="415"/>
      <c r="P501" s="415"/>
      <c r="Q501" s="415"/>
    </row>
    <row r="502" spans="14:17" ht="12.75">
      <c r="N502" s="415"/>
      <c r="O502" s="415"/>
      <c r="P502" s="415"/>
      <c r="Q502" s="415"/>
    </row>
    <row r="503" spans="14:17" ht="12.75">
      <c r="N503" s="415"/>
      <c r="O503" s="415"/>
      <c r="P503" s="415"/>
      <c r="Q503" s="415"/>
    </row>
    <row r="504" spans="14:17" ht="12.75">
      <c r="N504" s="415"/>
      <c r="O504" s="415"/>
      <c r="P504" s="415"/>
      <c r="Q504" s="415"/>
    </row>
    <row r="505" spans="14:17" ht="12.75">
      <c r="N505" s="415"/>
      <c r="O505" s="415"/>
      <c r="P505" s="415"/>
      <c r="Q505" s="415"/>
    </row>
    <row r="506" spans="14:17" ht="12.75">
      <c r="N506" s="415"/>
      <c r="O506" s="415"/>
      <c r="P506" s="415"/>
      <c r="Q506" s="415"/>
    </row>
    <row r="507" spans="14:17" ht="12.75">
      <c r="N507" s="415"/>
      <c r="O507" s="415"/>
      <c r="P507" s="415"/>
      <c r="Q507" s="415"/>
    </row>
    <row r="508" spans="14:17" ht="12.75">
      <c r="N508" s="415"/>
      <c r="O508" s="415"/>
      <c r="P508" s="415"/>
      <c r="Q508" s="415"/>
    </row>
    <row r="509" spans="14:17" ht="12.75">
      <c r="N509" s="415"/>
      <c r="O509" s="415"/>
      <c r="P509" s="415"/>
      <c r="Q509" s="415"/>
    </row>
    <row r="510" spans="14:17" ht="12.75">
      <c r="N510" s="415"/>
      <c r="O510" s="415"/>
      <c r="P510" s="415"/>
      <c r="Q510" s="415"/>
    </row>
    <row r="511" spans="14:17" ht="12.75">
      <c r="N511" s="415"/>
      <c r="O511" s="415"/>
      <c r="P511" s="415"/>
      <c r="Q511" s="415"/>
    </row>
    <row r="512" spans="14:17" ht="12.75">
      <c r="N512" s="415"/>
      <c r="O512" s="415"/>
      <c r="P512" s="415"/>
      <c r="Q512" s="415"/>
    </row>
    <row r="513" spans="14:17" ht="12.75">
      <c r="N513" s="415"/>
      <c r="O513" s="415"/>
      <c r="P513" s="415"/>
      <c r="Q513" s="415"/>
    </row>
    <row r="514" spans="14:17" ht="12.75">
      <c r="N514" s="415"/>
      <c r="O514" s="415"/>
      <c r="P514" s="415"/>
      <c r="Q514" s="415"/>
    </row>
    <row r="515" spans="14:17" ht="12.75">
      <c r="N515" s="415"/>
      <c r="O515" s="415"/>
      <c r="P515" s="415"/>
      <c r="Q515" s="415"/>
    </row>
    <row r="516" spans="14:17" ht="12.75">
      <c r="N516" s="415"/>
      <c r="O516" s="415"/>
      <c r="P516" s="415"/>
      <c r="Q516" s="415"/>
    </row>
    <row r="517" spans="14:17" ht="12.75">
      <c r="N517" s="415"/>
      <c r="O517" s="415"/>
      <c r="P517" s="415"/>
      <c r="Q517" s="415"/>
    </row>
    <row r="518" spans="14:17" ht="12.75">
      <c r="N518" s="415"/>
      <c r="O518" s="415"/>
      <c r="P518" s="415"/>
      <c r="Q518" s="415"/>
    </row>
    <row r="519" spans="14:17" ht="12.75">
      <c r="N519" s="415"/>
      <c r="O519" s="415"/>
      <c r="P519" s="415"/>
      <c r="Q519" s="415"/>
    </row>
    <row r="520" spans="14:17" ht="12.75">
      <c r="N520" s="415"/>
      <c r="O520" s="415"/>
      <c r="P520" s="415"/>
      <c r="Q520" s="415"/>
    </row>
    <row r="521" spans="14:17" ht="12.75">
      <c r="N521" s="415"/>
      <c r="O521" s="415"/>
      <c r="P521" s="415"/>
      <c r="Q521" s="415"/>
    </row>
    <row r="522" spans="14:17" ht="12.75">
      <c r="N522" s="415"/>
      <c r="O522" s="415"/>
      <c r="P522" s="415"/>
      <c r="Q522" s="415"/>
    </row>
    <row r="523" spans="14:17" ht="12.75">
      <c r="N523" s="415"/>
      <c r="O523" s="415"/>
      <c r="P523" s="415"/>
      <c r="Q523" s="415"/>
    </row>
    <row r="524" spans="14:17" ht="12.75">
      <c r="N524" s="415"/>
      <c r="O524" s="415"/>
      <c r="P524" s="415"/>
      <c r="Q524" s="415"/>
    </row>
    <row r="525" spans="14:17" ht="12.75">
      <c r="N525" s="415"/>
      <c r="O525" s="415"/>
      <c r="P525" s="415"/>
      <c r="Q525" s="415"/>
    </row>
    <row r="526" spans="14:17" ht="12.75">
      <c r="N526" s="415"/>
      <c r="O526" s="415"/>
      <c r="P526" s="415"/>
      <c r="Q526" s="415"/>
    </row>
    <row r="527" spans="14:17" ht="12.75">
      <c r="N527" s="415"/>
      <c r="O527" s="415"/>
      <c r="P527" s="415"/>
      <c r="Q527" s="415"/>
    </row>
    <row r="528" spans="14:17" ht="12.75">
      <c r="N528" s="415"/>
      <c r="O528" s="415"/>
      <c r="P528" s="415"/>
      <c r="Q528" s="415"/>
    </row>
    <row r="529" spans="14:17" ht="12.75">
      <c r="N529" s="415"/>
      <c r="O529" s="415"/>
      <c r="P529" s="415"/>
      <c r="Q529" s="415"/>
    </row>
    <row r="530" spans="14:17" ht="12.75">
      <c r="N530" s="415"/>
      <c r="O530" s="415"/>
      <c r="P530" s="415"/>
      <c r="Q530" s="415"/>
    </row>
    <row r="531" spans="14:17" ht="12.75">
      <c r="N531" s="415"/>
      <c r="O531" s="415"/>
      <c r="P531" s="415"/>
      <c r="Q531" s="415"/>
    </row>
    <row r="532" spans="14:17" ht="12.75">
      <c r="N532" s="415"/>
      <c r="O532" s="415"/>
      <c r="P532" s="415"/>
      <c r="Q532" s="415"/>
    </row>
    <row r="533" spans="14:17" ht="12.75">
      <c r="N533" s="415"/>
      <c r="O533" s="415"/>
      <c r="P533" s="415"/>
      <c r="Q533" s="415"/>
    </row>
    <row r="534" spans="14:17" ht="12.75">
      <c r="N534" s="415"/>
      <c r="O534" s="415"/>
      <c r="P534" s="415"/>
      <c r="Q534" s="415"/>
    </row>
    <row r="535" spans="14:17" ht="12.75">
      <c r="N535" s="415"/>
      <c r="O535" s="415"/>
      <c r="P535" s="415"/>
      <c r="Q535" s="415"/>
    </row>
    <row r="536" spans="14:17" ht="12.75">
      <c r="N536" s="415"/>
      <c r="O536" s="415"/>
      <c r="P536" s="415"/>
      <c r="Q536" s="415"/>
    </row>
    <row r="537" spans="14:17" ht="12.75">
      <c r="N537" s="415"/>
      <c r="O537" s="415"/>
      <c r="P537" s="415"/>
      <c r="Q537" s="415"/>
    </row>
    <row r="538" spans="14:17" ht="12.75">
      <c r="N538" s="415"/>
      <c r="O538" s="415"/>
      <c r="P538" s="415"/>
      <c r="Q538" s="415"/>
    </row>
    <row r="539" spans="14:17" ht="12.75">
      <c r="N539" s="415"/>
      <c r="O539" s="415"/>
      <c r="P539" s="415"/>
      <c r="Q539" s="415"/>
    </row>
    <row r="540" spans="14:17" ht="12.75">
      <c r="N540" s="415"/>
      <c r="O540" s="415"/>
      <c r="P540" s="415"/>
      <c r="Q540" s="415"/>
    </row>
    <row r="541" spans="14:17" ht="12.75">
      <c r="N541" s="415"/>
      <c r="O541" s="415"/>
      <c r="P541" s="415"/>
      <c r="Q541" s="415"/>
    </row>
    <row r="542" spans="14:17" ht="12.75">
      <c r="N542" s="415"/>
      <c r="O542" s="415"/>
      <c r="P542" s="415"/>
      <c r="Q542" s="415"/>
    </row>
    <row r="543" spans="14:17" ht="12.75">
      <c r="N543" s="415"/>
      <c r="O543" s="415"/>
      <c r="P543" s="415"/>
      <c r="Q543" s="415"/>
    </row>
    <row r="544" spans="14:17" ht="12.75">
      <c r="N544" s="415"/>
      <c r="O544" s="415"/>
      <c r="P544" s="415"/>
      <c r="Q544" s="415"/>
    </row>
    <row r="545" spans="14:17" ht="12.75">
      <c r="N545" s="415"/>
      <c r="O545" s="415"/>
      <c r="P545" s="415"/>
      <c r="Q545" s="415"/>
    </row>
    <row r="546" spans="14:17" ht="12.75">
      <c r="N546" s="415"/>
      <c r="O546" s="415"/>
      <c r="P546" s="415"/>
      <c r="Q546" s="415"/>
    </row>
    <row r="547" spans="14:17" ht="12.75">
      <c r="N547" s="415"/>
      <c r="O547" s="415"/>
      <c r="P547" s="415"/>
      <c r="Q547" s="415"/>
    </row>
    <row r="548" spans="14:17" ht="12.75">
      <c r="N548" s="415"/>
      <c r="O548" s="415"/>
      <c r="P548" s="415"/>
      <c r="Q548" s="415"/>
    </row>
    <row r="549" spans="14:17" ht="12.75">
      <c r="N549" s="415"/>
      <c r="O549" s="415"/>
      <c r="P549" s="415"/>
      <c r="Q549" s="415"/>
    </row>
    <row r="550" spans="14:17" ht="12.75">
      <c r="N550" s="415"/>
      <c r="O550" s="415"/>
      <c r="P550" s="415"/>
      <c r="Q550" s="415"/>
    </row>
    <row r="551" spans="14:17" ht="12.75">
      <c r="N551" s="415"/>
      <c r="O551" s="415"/>
      <c r="P551" s="415"/>
      <c r="Q551" s="415"/>
    </row>
    <row r="552" spans="14:17" ht="12.75">
      <c r="N552" s="415"/>
      <c r="O552" s="415"/>
      <c r="P552" s="415"/>
      <c r="Q552" s="415"/>
    </row>
    <row r="553" spans="14:17" ht="12.75">
      <c r="N553" s="415"/>
      <c r="O553" s="415"/>
      <c r="P553" s="415"/>
      <c r="Q553" s="415"/>
    </row>
    <row r="554" spans="14:17" ht="12.75">
      <c r="N554" s="415"/>
      <c r="O554" s="415"/>
      <c r="P554" s="415"/>
      <c r="Q554" s="415"/>
    </row>
    <row r="555" spans="14:17" ht="12.75">
      <c r="N555" s="415"/>
      <c r="O555" s="415"/>
      <c r="P555" s="415"/>
      <c r="Q555" s="415"/>
    </row>
    <row r="556" spans="14:17" ht="12.75">
      <c r="N556" s="415"/>
      <c r="O556" s="415"/>
      <c r="P556" s="415"/>
      <c r="Q556" s="415"/>
    </row>
    <row r="557" spans="14:17" ht="12.75">
      <c r="N557" s="415"/>
      <c r="O557" s="415"/>
      <c r="P557" s="415"/>
      <c r="Q557" s="415"/>
    </row>
    <row r="558" spans="14:17" ht="12.75">
      <c r="N558" s="415"/>
      <c r="O558" s="415"/>
      <c r="P558" s="415"/>
      <c r="Q558" s="415"/>
    </row>
    <row r="559" spans="14:17" ht="12.75">
      <c r="N559" s="415"/>
      <c r="O559" s="415"/>
      <c r="P559" s="415"/>
      <c r="Q559" s="415"/>
    </row>
    <row r="560" spans="14:17" ht="12.75">
      <c r="N560" s="415"/>
      <c r="O560" s="415"/>
      <c r="P560" s="415"/>
      <c r="Q560" s="415"/>
    </row>
    <row r="561" spans="14:17" ht="12.75">
      <c r="N561" s="415"/>
      <c r="O561" s="415"/>
      <c r="P561" s="415"/>
      <c r="Q561" s="415"/>
    </row>
    <row r="562" spans="14:17" ht="12.75">
      <c r="N562" s="415"/>
      <c r="O562" s="415"/>
      <c r="P562" s="415"/>
      <c r="Q562" s="415"/>
    </row>
    <row r="563" spans="14:17" ht="12.75">
      <c r="N563" s="415"/>
      <c r="O563" s="415"/>
      <c r="P563" s="415"/>
      <c r="Q563" s="415"/>
    </row>
    <row r="564" spans="14:17" ht="12.75">
      <c r="N564" s="415"/>
      <c r="O564" s="415"/>
      <c r="P564" s="415"/>
      <c r="Q564" s="415"/>
    </row>
    <row r="565" spans="14:17" ht="12.75">
      <c r="N565" s="415"/>
      <c r="O565" s="415"/>
      <c r="P565" s="415"/>
      <c r="Q565" s="415"/>
    </row>
    <row r="566" spans="14:17" ht="12.75">
      <c r="N566" s="415"/>
      <c r="O566" s="415"/>
      <c r="P566" s="415"/>
      <c r="Q566" s="415"/>
    </row>
    <row r="567" spans="14:17" ht="12.75">
      <c r="N567" s="415"/>
      <c r="O567" s="415"/>
      <c r="P567" s="415"/>
      <c r="Q567" s="415"/>
    </row>
    <row r="568" spans="14:17" ht="12.75">
      <c r="N568" s="415"/>
      <c r="O568" s="415"/>
      <c r="P568" s="415"/>
      <c r="Q568" s="415"/>
    </row>
    <row r="569" spans="14:17" ht="12.75">
      <c r="N569" s="415"/>
      <c r="O569" s="415"/>
      <c r="P569" s="415"/>
      <c r="Q569" s="415"/>
    </row>
    <row r="570" spans="14:17" ht="12.75">
      <c r="N570" s="415"/>
      <c r="O570" s="415"/>
      <c r="P570" s="415"/>
      <c r="Q570" s="415"/>
    </row>
    <row r="571" spans="14:17" ht="12.75">
      <c r="N571" s="415"/>
      <c r="O571" s="415"/>
      <c r="P571" s="415"/>
      <c r="Q571" s="415"/>
    </row>
    <row r="572" spans="14:17" ht="12.75">
      <c r="N572" s="415"/>
      <c r="O572" s="415"/>
      <c r="P572" s="415"/>
      <c r="Q572" s="415"/>
    </row>
    <row r="573" spans="14:17" ht="12.75">
      <c r="N573" s="415"/>
      <c r="O573" s="415"/>
      <c r="P573" s="415"/>
      <c r="Q573" s="415"/>
    </row>
    <row r="574" spans="14:17" ht="12.75">
      <c r="N574" s="415"/>
      <c r="O574" s="415"/>
      <c r="P574" s="415"/>
      <c r="Q574" s="415"/>
    </row>
    <row r="575" spans="14:17" ht="12.75">
      <c r="N575" s="415"/>
      <c r="O575" s="415"/>
      <c r="P575" s="415"/>
      <c r="Q575" s="415"/>
    </row>
    <row r="576" spans="14:17" ht="12.75">
      <c r="N576" s="415"/>
      <c r="O576" s="415"/>
      <c r="P576" s="415"/>
      <c r="Q576" s="415"/>
    </row>
    <row r="577" spans="14:17" ht="12.75">
      <c r="N577" s="415"/>
      <c r="O577" s="415"/>
      <c r="P577" s="415"/>
      <c r="Q577" s="415"/>
    </row>
    <row r="578" spans="14:17" ht="12.75">
      <c r="N578" s="415"/>
      <c r="O578" s="415"/>
      <c r="P578" s="415"/>
      <c r="Q578" s="415"/>
    </row>
    <row r="579" spans="14:17" ht="12.75">
      <c r="N579" s="415"/>
      <c r="O579" s="415"/>
      <c r="P579" s="415"/>
      <c r="Q579" s="415"/>
    </row>
    <row r="580" spans="14:17" ht="12.75">
      <c r="N580" s="415"/>
      <c r="O580" s="415"/>
      <c r="P580" s="415"/>
      <c r="Q580" s="415"/>
    </row>
    <row r="581" spans="14:17" ht="12.75">
      <c r="N581" s="415"/>
      <c r="O581" s="415"/>
      <c r="P581" s="415"/>
      <c r="Q581" s="415"/>
    </row>
    <row r="582" spans="14:17" ht="12.75">
      <c r="N582" s="415"/>
      <c r="O582" s="415"/>
      <c r="P582" s="415"/>
      <c r="Q582" s="415"/>
    </row>
    <row r="583" spans="14:17" ht="12.75">
      <c r="N583" s="415"/>
      <c r="O583" s="415"/>
      <c r="P583" s="415"/>
      <c r="Q583" s="415"/>
    </row>
    <row r="584" spans="14:17" ht="12.75">
      <c r="N584" s="415"/>
      <c r="O584" s="415"/>
      <c r="P584" s="415"/>
      <c r="Q584" s="415"/>
    </row>
    <row r="585" spans="14:17" ht="12.75">
      <c r="N585" s="415"/>
      <c r="O585" s="415"/>
      <c r="P585" s="415"/>
      <c r="Q585" s="415"/>
    </row>
    <row r="586" spans="14:17" ht="12.75">
      <c r="N586" s="415"/>
      <c r="O586" s="415"/>
      <c r="P586" s="415"/>
      <c r="Q586" s="415"/>
    </row>
    <row r="587" spans="14:17" ht="12.75">
      <c r="N587" s="415"/>
      <c r="O587" s="415"/>
      <c r="P587" s="415"/>
      <c r="Q587" s="415"/>
    </row>
    <row r="588" spans="14:17" ht="12.75">
      <c r="N588" s="415"/>
      <c r="O588" s="415"/>
      <c r="P588" s="415"/>
      <c r="Q588" s="415"/>
    </row>
    <row r="589" spans="14:17" ht="12.75">
      <c r="N589" s="415"/>
      <c r="O589" s="415"/>
      <c r="P589" s="415"/>
      <c r="Q589" s="415"/>
    </row>
    <row r="590" spans="14:17" ht="12.75">
      <c r="N590" s="415"/>
      <c r="O590" s="415"/>
      <c r="P590" s="415"/>
      <c r="Q590" s="415"/>
    </row>
    <row r="591" spans="14:17" ht="12.75">
      <c r="N591" s="415"/>
      <c r="O591" s="415"/>
      <c r="P591" s="415"/>
      <c r="Q591" s="415"/>
    </row>
    <row r="592" spans="14:17" ht="12.75">
      <c r="N592" s="415"/>
      <c r="O592" s="415"/>
      <c r="P592" s="415"/>
      <c r="Q592" s="415"/>
    </row>
    <row r="593" spans="14:17" ht="12.75">
      <c r="N593" s="415"/>
      <c r="O593" s="415"/>
      <c r="P593" s="415"/>
      <c r="Q593" s="415"/>
    </row>
    <row r="594" spans="14:17" ht="12.75">
      <c r="N594" s="415"/>
      <c r="O594" s="415"/>
      <c r="P594" s="415"/>
      <c r="Q594" s="415"/>
    </row>
    <row r="595" spans="14:17" ht="12.75">
      <c r="N595" s="415"/>
      <c r="O595" s="415"/>
      <c r="P595" s="415"/>
      <c r="Q595" s="415"/>
    </row>
    <row r="596" spans="14:17" ht="12.75">
      <c r="N596" s="415"/>
      <c r="O596" s="415"/>
      <c r="P596" s="415"/>
      <c r="Q596" s="415"/>
    </row>
    <row r="597" spans="14:17" ht="12.75">
      <c r="N597" s="415"/>
      <c r="O597" s="415"/>
      <c r="P597" s="415"/>
      <c r="Q597" s="415"/>
    </row>
    <row r="598" spans="14:17" ht="12.75">
      <c r="N598" s="415"/>
      <c r="O598" s="415"/>
      <c r="P598" s="415"/>
      <c r="Q598" s="415"/>
    </row>
    <row r="599" spans="14:17" ht="12.75">
      <c r="N599" s="415"/>
      <c r="O599" s="415"/>
      <c r="P599" s="415"/>
      <c r="Q599" s="415"/>
    </row>
    <row r="600" spans="14:17" ht="12.75">
      <c r="N600" s="415"/>
      <c r="O600" s="415"/>
      <c r="P600" s="415"/>
      <c r="Q600" s="415"/>
    </row>
    <row r="601" spans="14:17" ht="12.75">
      <c r="N601" s="415"/>
      <c r="O601" s="415"/>
      <c r="P601" s="415"/>
      <c r="Q601" s="415"/>
    </row>
    <row r="602" spans="14:17" ht="12.75">
      <c r="N602" s="415"/>
      <c r="O602" s="415"/>
      <c r="P602" s="415"/>
      <c r="Q602" s="415"/>
    </row>
    <row r="603" spans="14:17" ht="12.75">
      <c r="N603" s="415"/>
      <c r="O603" s="415"/>
      <c r="P603" s="415"/>
      <c r="Q603" s="415"/>
    </row>
    <row r="604" spans="14:17" ht="12.75">
      <c r="N604" s="415"/>
      <c r="O604" s="415"/>
      <c r="P604" s="415"/>
      <c r="Q604" s="415"/>
    </row>
    <row r="605" spans="14:17" ht="12.75">
      <c r="N605" s="415"/>
      <c r="O605" s="415"/>
      <c r="P605" s="415"/>
      <c r="Q605" s="415"/>
    </row>
    <row r="606" spans="14:17" ht="12.75">
      <c r="N606" s="415"/>
      <c r="O606" s="415"/>
      <c r="P606" s="415"/>
      <c r="Q606" s="415"/>
    </row>
    <row r="607" spans="14:17" ht="12.75">
      <c r="N607" s="415"/>
      <c r="O607" s="415"/>
      <c r="P607" s="415"/>
      <c r="Q607" s="415"/>
    </row>
    <row r="608" spans="14:17" ht="12.75">
      <c r="N608" s="415"/>
      <c r="O608" s="415"/>
      <c r="P608" s="415"/>
      <c r="Q608" s="415"/>
    </row>
    <row r="609" spans="14:17" ht="12.75">
      <c r="N609" s="415"/>
      <c r="O609" s="415"/>
      <c r="P609" s="415"/>
      <c r="Q609" s="415"/>
    </row>
    <row r="610" spans="14:17" ht="12.75">
      <c r="N610" s="415"/>
      <c r="O610" s="415"/>
      <c r="P610" s="415"/>
      <c r="Q610" s="415"/>
    </row>
    <row r="611" spans="14:17" ht="12.75">
      <c r="N611" s="415"/>
      <c r="O611" s="415"/>
      <c r="P611" s="415"/>
      <c r="Q611" s="415"/>
    </row>
    <row r="612" spans="14:17" ht="12.75">
      <c r="N612" s="415"/>
      <c r="O612" s="415"/>
      <c r="P612" s="415"/>
      <c r="Q612" s="415"/>
    </row>
    <row r="613" spans="14:17" ht="12.75">
      <c r="N613" s="415"/>
      <c r="O613" s="415"/>
      <c r="P613" s="415"/>
      <c r="Q613" s="415"/>
    </row>
    <row r="614" spans="14:17" ht="12.75">
      <c r="N614" s="415"/>
      <c r="O614" s="415"/>
      <c r="P614" s="415"/>
      <c r="Q614" s="415"/>
    </row>
    <row r="615" spans="14:17" ht="12.75">
      <c r="N615" s="415"/>
      <c r="O615" s="415"/>
      <c r="P615" s="415"/>
      <c r="Q615" s="415"/>
    </row>
    <row r="616" spans="14:17" ht="12.75">
      <c r="N616" s="415"/>
      <c r="O616" s="415"/>
      <c r="P616" s="415"/>
      <c r="Q616" s="415"/>
    </row>
    <row r="617" spans="14:17" ht="12.75">
      <c r="N617" s="415"/>
      <c r="O617" s="415"/>
      <c r="P617" s="415"/>
      <c r="Q617" s="415"/>
    </row>
    <row r="618" spans="14:17" ht="12.75">
      <c r="N618" s="415"/>
      <c r="O618" s="415"/>
      <c r="P618" s="415"/>
      <c r="Q618" s="415"/>
    </row>
    <row r="619" spans="14:17" ht="12.75">
      <c r="N619" s="415"/>
      <c r="O619" s="415"/>
      <c r="P619" s="415"/>
      <c r="Q619" s="415"/>
    </row>
    <row r="620" spans="14:17" ht="12.75">
      <c r="N620" s="415"/>
      <c r="O620" s="415"/>
      <c r="P620" s="415"/>
      <c r="Q620" s="415"/>
    </row>
    <row r="621" spans="14:17" ht="12.75">
      <c r="N621" s="415"/>
      <c r="O621" s="415"/>
      <c r="P621" s="415"/>
      <c r="Q621" s="415"/>
    </row>
    <row r="622" spans="14:17" ht="12.75">
      <c r="N622" s="415"/>
      <c r="O622" s="415"/>
      <c r="P622" s="415"/>
      <c r="Q622" s="415"/>
    </row>
    <row r="623" spans="14:17" ht="12.75">
      <c r="N623" s="415"/>
      <c r="O623" s="415"/>
      <c r="P623" s="415"/>
      <c r="Q623" s="415"/>
    </row>
    <row r="624" spans="14:17" ht="12.75">
      <c r="N624" s="415"/>
      <c r="O624" s="415"/>
      <c r="P624" s="415"/>
      <c r="Q624" s="415"/>
    </row>
    <row r="625" spans="14:17" ht="12.75">
      <c r="N625" s="415"/>
      <c r="O625" s="415"/>
      <c r="P625" s="415"/>
      <c r="Q625" s="415"/>
    </row>
    <row r="626" spans="14:17" ht="12.75">
      <c r="N626" s="415"/>
      <c r="O626" s="415"/>
      <c r="P626" s="415"/>
      <c r="Q626" s="415"/>
    </row>
    <row r="627" spans="14:17" ht="12.75">
      <c r="N627" s="415"/>
      <c r="O627" s="415"/>
      <c r="P627" s="415"/>
      <c r="Q627" s="415"/>
    </row>
    <row r="628" spans="14:17" ht="12.75">
      <c r="N628" s="415"/>
      <c r="O628" s="415"/>
      <c r="P628" s="415"/>
      <c r="Q628" s="415"/>
    </row>
    <row r="629" spans="14:17" ht="12.75">
      <c r="N629" s="415"/>
      <c r="O629" s="415"/>
      <c r="P629" s="415"/>
      <c r="Q629" s="415"/>
    </row>
    <row r="630" spans="14:17" ht="12.75">
      <c r="N630" s="415"/>
      <c r="O630" s="415"/>
      <c r="P630" s="415"/>
      <c r="Q630" s="415"/>
    </row>
    <row r="631" spans="14:17" ht="12.75">
      <c r="N631" s="415"/>
      <c r="O631" s="415"/>
      <c r="P631" s="415"/>
      <c r="Q631" s="415"/>
    </row>
    <row r="632" spans="14:17" ht="12.75">
      <c r="N632" s="415"/>
      <c r="O632" s="415"/>
      <c r="P632" s="415"/>
      <c r="Q632" s="415"/>
    </row>
    <row r="633" spans="14:17" ht="12.75">
      <c r="N633" s="415"/>
      <c r="O633" s="415"/>
      <c r="P633" s="415"/>
      <c r="Q633" s="415"/>
    </row>
    <row r="634" spans="14:17" ht="12.75">
      <c r="N634" s="415"/>
      <c r="O634" s="415"/>
      <c r="P634" s="415"/>
      <c r="Q634" s="415"/>
    </row>
    <row r="635" spans="14:17" ht="12.75">
      <c r="N635" s="415"/>
      <c r="O635" s="415"/>
      <c r="P635" s="415"/>
      <c r="Q635" s="415"/>
    </row>
    <row r="636" spans="14:17" ht="12.75">
      <c r="N636" s="415"/>
      <c r="O636" s="415"/>
      <c r="P636" s="415"/>
      <c r="Q636" s="415"/>
    </row>
    <row r="637" spans="14:17" ht="12.75">
      <c r="N637" s="415"/>
      <c r="O637" s="415"/>
      <c r="P637" s="415"/>
      <c r="Q637" s="415"/>
    </row>
    <row r="638" spans="14:17" ht="12.75">
      <c r="N638" s="415"/>
      <c r="O638" s="415"/>
      <c r="P638" s="415"/>
      <c r="Q638" s="415"/>
    </row>
    <row r="639" spans="14:17" ht="12.75">
      <c r="N639" s="415"/>
      <c r="O639" s="415"/>
      <c r="P639" s="415"/>
      <c r="Q639" s="415"/>
    </row>
    <row r="640" spans="14:17" ht="12.75">
      <c r="N640" s="415"/>
      <c r="O640" s="415"/>
      <c r="P640" s="415"/>
      <c r="Q640" s="415"/>
    </row>
    <row r="641" spans="14:17" ht="12.75">
      <c r="N641" s="415"/>
      <c r="O641" s="415"/>
      <c r="P641" s="415"/>
      <c r="Q641" s="415"/>
    </row>
    <row r="642" spans="14:17" ht="12.75">
      <c r="N642" s="415"/>
      <c r="O642" s="415"/>
      <c r="P642" s="415"/>
      <c r="Q642" s="415"/>
    </row>
    <row r="643" spans="14:17" ht="12.75">
      <c r="N643" s="415"/>
      <c r="O643" s="415"/>
      <c r="P643" s="415"/>
      <c r="Q643" s="415"/>
    </row>
    <row r="644" spans="14:17" ht="12.75">
      <c r="N644" s="415"/>
      <c r="O644" s="415"/>
      <c r="P644" s="415"/>
      <c r="Q644" s="415"/>
    </row>
    <row r="645" spans="14:17" ht="12.75">
      <c r="N645" s="415"/>
      <c r="O645" s="415"/>
      <c r="P645" s="415"/>
      <c r="Q645" s="415"/>
    </row>
    <row r="646" spans="14:17" ht="12.75">
      <c r="N646" s="415"/>
      <c r="O646" s="415"/>
      <c r="P646" s="415"/>
      <c r="Q646" s="415"/>
    </row>
    <row r="647" spans="14:17" ht="12.75">
      <c r="N647" s="415"/>
      <c r="O647" s="415"/>
      <c r="P647" s="415"/>
      <c r="Q647" s="415"/>
    </row>
    <row r="648" spans="14:17" ht="12.75">
      <c r="N648" s="415"/>
      <c r="O648" s="415"/>
      <c r="P648" s="415"/>
      <c r="Q648" s="415"/>
    </row>
    <row r="649" spans="14:17" ht="12.75">
      <c r="N649" s="415"/>
      <c r="O649" s="415"/>
      <c r="P649" s="415"/>
      <c r="Q649" s="415"/>
    </row>
    <row r="650" spans="14:17" ht="12.75">
      <c r="N650" s="415"/>
      <c r="O650" s="415"/>
      <c r="P650" s="415"/>
      <c r="Q650" s="415"/>
    </row>
    <row r="651" spans="14:17" ht="12.75">
      <c r="N651" s="415"/>
      <c r="O651" s="415"/>
      <c r="P651" s="415"/>
      <c r="Q651" s="415"/>
    </row>
    <row r="652" spans="14:17" ht="12.75">
      <c r="N652" s="415"/>
      <c r="O652" s="415"/>
      <c r="P652" s="415"/>
      <c r="Q652" s="415"/>
    </row>
    <row r="653" spans="14:17" ht="12.75">
      <c r="N653" s="415"/>
      <c r="O653" s="415"/>
      <c r="P653" s="415"/>
      <c r="Q653" s="415"/>
    </row>
    <row r="654" spans="14:17" ht="12.75">
      <c r="N654" s="415"/>
      <c r="O654" s="415"/>
      <c r="P654" s="415"/>
      <c r="Q654" s="415"/>
    </row>
    <row r="655" spans="14:17" ht="12.75">
      <c r="N655" s="415"/>
      <c r="O655" s="415"/>
      <c r="P655" s="415"/>
      <c r="Q655" s="415"/>
    </row>
    <row r="656" spans="14:17" ht="12.75">
      <c r="N656" s="415"/>
      <c r="O656" s="415"/>
      <c r="P656" s="415"/>
      <c r="Q656" s="415"/>
    </row>
    <row r="657" spans="14:17" ht="12.75">
      <c r="N657" s="415"/>
      <c r="O657" s="415"/>
      <c r="P657" s="415"/>
      <c r="Q657" s="415"/>
    </row>
    <row r="658" spans="14:17" ht="12.75">
      <c r="N658" s="415"/>
      <c r="O658" s="415"/>
      <c r="P658" s="415"/>
      <c r="Q658" s="415"/>
    </row>
    <row r="659" spans="14:17" ht="12.75">
      <c r="N659" s="415"/>
      <c r="O659" s="415"/>
      <c r="P659" s="415"/>
      <c r="Q659" s="415"/>
    </row>
    <row r="660" spans="14:17" ht="12.75">
      <c r="N660" s="415"/>
      <c r="O660" s="415"/>
      <c r="P660" s="415"/>
      <c r="Q660" s="415"/>
    </row>
    <row r="661" spans="14:17" ht="12.75">
      <c r="N661" s="415"/>
      <c r="O661" s="415"/>
      <c r="P661" s="415"/>
      <c r="Q661" s="415"/>
    </row>
    <row r="662" spans="14:17" ht="12.75">
      <c r="N662" s="415"/>
      <c r="O662" s="415"/>
      <c r="P662" s="415"/>
      <c r="Q662" s="415"/>
    </row>
    <row r="663" spans="14:17" ht="12.75">
      <c r="N663" s="415"/>
      <c r="O663" s="415"/>
      <c r="P663" s="415"/>
      <c r="Q663" s="415"/>
    </row>
    <row r="664" spans="14:17" ht="12.75">
      <c r="N664" s="415"/>
      <c r="O664" s="415"/>
      <c r="P664" s="415"/>
      <c r="Q664" s="415"/>
    </row>
    <row r="665" spans="14:17" ht="12.75">
      <c r="N665" s="415"/>
      <c r="O665" s="415"/>
      <c r="P665" s="415"/>
      <c r="Q665" s="415"/>
    </row>
    <row r="666" spans="14:17" ht="12.75">
      <c r="N666" s="415"/>
      <c r="O666" s="415"/>
      <c r="P666" s="415"/>
      <c r="Q666" s="415"/>
    </row>
    <row r="667" spans="14:17" ht="12.75">
      <c r="N667" s="415"/>
      <c r="O667" s="415"/>
      <c r="P667" s="415"/>
      <c r="Q667" s="415"/>
    </row>
    <row r="668" spans="14:17" ht="12.75">
      <c r="N668" s="415"/>
      <c r="O668" s="415"/>
      <c r="P668" s="415"/>
      <c r="Q668" s="415"/>
    </row>
    <row r="669" spans="14:17" ht="12.75">
      <c r="N669" s="415"/>
      <c r="O669" s="415"/>
      <c r="P669" s="415"/>
      <c r="Q669" s="415"/>
    </row>
    <row r="670" spans="14:17" ht="12.75">
      <c r="N670" s="415"/>
      <c r="O670" s="415"/>
      <c r="P670" s="415"/>
      <c r="Q670" s="415"/>
    </row>
    <row r="671" spans="14:17" ht="12.75">
      <c r="N671" s="415"/>
      <c r="O671" s="415"/>
      <c r="P671" s="415"/>
      <c r="Q671" s="415"/>
    </row>
    <row r="672" spans="14:17" ht="12.75">
      <c r="N672" s="415"/>
      <c r="O672" s="415"/>
      <c r="P672" s="415"/>
      <c r="Q672" s="415"/>
    </row>
    <row r="673" spans="14:17" ht="12.75">
      <c r="N673" s="415"/>
      <c r="O673" s="415"/>
      <c r="P673" s="415"/>
      <c r="Q673" s="415"/>
    </row>
    <row r="674" spans="14:17" ht="12.75">
      <c r="N674" s="415"/>
      <c r="O674" s="415"/>
      <c r="P674" s="415"/>
      <c r="Q674" s="415"/>
    </row>
    <row r="675" spans="14:17" ht="12.75">
      <c r="N675" s="415"/>
      <c r="O675" s="415"/>
      <c r="P675" s="415"/>
      <c r="Q675" s="415"/>
    </row>
    <row r="676" spans="14:17" ht="12.75">
      <c r="N676" s="415"/>
      <c r="O676" s="415"/>
      <c r="P676" s="415"/>
      <c r="Q676" s="415"/>
    </row>
    <row r="677" spans="14:17" ht="12.75">
      <c r="N677" s="415"/>
      <c r="O677" s="415"/>
      <c r="P677" s="415"/>
      <c r="Q677" s="415"/>
    </row>
    <row r="678" spans="14:17" ht="12.75">
      <c r="N678" s="415"/>
      <c r="O678" s="415"/>
      <c r="P678" s="415"/>
      <c r="Q678" s="415"/>
    </row>
    <row r="679" spans="14:17" ht="12.75">
      <c r="N679" s="415"/>
      <c r="O679" s="415"/>
      <c r="P679" s="415"/>
      <c r="Q679" s="415"/>
    </row>
    <row r="680" spans="14:17" ht="12.75">
      <c r="N680" s="415"/>
      <c r="O680" s="415"/>
      <c r="P680" s="415"/>
      <c r="Q680" s="415"/>
    </row>
    <row r="681" spans="14:17" ht="12.75">
      <c r="N681" s="415"/>
      <c r="O681" s="415"/>
      <c r="P681" s="415"/>
      <c r="Q681" s="415"/>
    </row>
    <row r="682" spans="14:17" ht="12.75">
      <c r="N682" s="415"/>
      <c r="O682" s="415"/>
      <c r="P682" s="415"/>
      <c r="Q682" s="415"/>
    </row>
    <row r="683" spans="14:17" ht="12.75">
      <c r="N683" s="415"/>
      <c r="O683" s="415"/>
      <c r="P683" s="415"/>
      <c r="Q683" s="415"/>
    </row>
    <row r="684" spans="14:17" ht="12.75">
      <c r="N684" s="415"/>
      <c r="O684" s="415"/>
      <c r="P684" s="415"/>
      <c r="Q684" s="415"/>
    </row>
    <row r="685" spans="14:17" ht="12.75">
      <c r="N685" s="415"/>
      <c r="O685" s="415"/>
      <c r="P685" s="415"/>
      <c r="Q685" s="415"/>
    </row>
    <row r="686" spans="14:17" ht="12.75">
      <c r="N686" s="415"/>
      <c r="O686" s="415"/>
      <c r="P686" s="415"/>
      <c r="Q686" s="415"/>
    </row>
    <row r="687" spans="14:17" ht="12.75">
      <c r="N687" s="415"/>
      <c r="O687" s="415"/>
      <c r="P687" s="415"/>
      <c r="Q687" s="415"/>
    </row>
    <row r="688" spans="14:17" ht="12.75">
      <c r="N688" s="415"/>
      <c r="O688" s="415"/>
      <c r="P688" s="415"/>
      <c r="Q688" s="415"/>
    </row>
    <row r="689" spans="14:17" ht="12.75">
      <c r="N689" s="415"/>
      <c r="O689" s="415"/>
      <c r="P689" s="415"/>
      <c r="Q689" s="415"/>
    </row>
    <row r="690" spans="14:17" ht="12.75">
      <c r="N690" s="415"/>
      <c r="O690" s="415"/>
      <c r="P690" s="415"/>
      <c r="Q690" s="415"/>
    </row>
    <row r="691" spans="14:17" ht="12.75">
      <c r="N691" s="415"/>
      <c r="O691" s="415"/>
      <c r="P691" s="415"/>
      <c r="Q691" s="415"/>
    </row>
    <row r="692" spans="14:17" ht="12.75">
      <c r="N692" s="415"/>
      <c r="O692" s="415"/>
      <c r="P692" s="415"/>
      <c r="Q692" s="415"/>
    </row>
    <row r="693" spans="14:17" ht="12.75">
      <c r="N693" s="415"/>
      <c r="O693" s="415"/>
      <c r="P693" s="415"/>
      <c r="Q693" s="415"/>
    </row>
    <row r="694" spans="14:17" ht="12.75">
      <c r="N694" s="415"/>
      <c r="O694" s="415"/>
      <c r="P694" s="415"/>
      <c r="Q694" s="415"/>
    </row>
    <row r="695" spans="14:17" ht="12.75">
      <c r="N695" s="415"/>
      <c r="O695" s="415"/>
      <c r="P695" s="415"/>
      <c r="Q695" s="415"/>
    </row>
    <row r="696" spans="14:17" ht="12.75">
      <c r="N696" s="415"/>
      <c r="O696" s="415"/>
      <c r="P696" s="415"/>
      <c r="Q696" s="415"/>
    </row>
    <row r="697" spans="14:17" ht="12.75">
      <c r="N697" s="415"/>
      <c r="O697" s="415"/>
      <c r="P697" s="415"/>
      <c r="Q697" s="415"/>
    </row>
    <row r="698" spans="14:17" ht="12.75">
      <c r="N698" s="415"/>
      <c r="O698" s="415"/>
      <c r="P698" s="415"/>
      <c r="Q698" s="415"/>
    </row>
    <row r="699" spans="14:17" ht="12.75">
      <c r="N699" s="415"/>
      <c r="O699" s="415"/>
      <c r="P699" s="415"/>
      <c r="Q699" s="415"/>
    </row>
    <row r="700" spans="14:17" ht="12.75">
      <c r="N700" s="415"/>
      <c r="O700" s="415"/>
      <c r="P700" s="415"/>
      <c r="Q700" s="415"/>
    </row>
    <row r="701" spans="14:17" ht="12.75">
      <c r="N701" s="415"/>
      <c r="O701" s="415"/>
      <c r="P701" s="415"/>
      <c r="Q701" s="415"/>
    </row>
    <row r="702" spans="14:17" ht="12.75">
      <c r="N702" s="415"/>
      <c r="O702" s="415"/>
      <c r="P702" s="415"/>
      <c r="Q702" s="415"/>
    </row>
    <row r="703" spans="14:17" ht="12.75">
      <c r="N703" s="415"/>
      <c r="O703" s="415"/>
      <c r="P703" s="415"/>
      <c r="Q703" s="415"/>
    </row>
    <row r="704" spans="14:17" ht="12.75">
      <c r="N704" s="415"/>
      <c r="O704" s="415"/>
      <c r="P704" s="415"/>
      <c r="Q704" s="415"/>
    </row>
    <row r="705" spans="14:17" ht="12.75">
      <c r="N705" s="415"/>
      <c r="O705" s="415"/>
      <c r="P705" s="415"/>
      <c r="Q705" s="415"/>
    </row>
    <row r="706" spans="14:17" ht="12.75">
      <c r="N706" s="415"/>
      <c r="O706" s="415"/>
      <c r="P706" s="415"/>
      <c r="Q706" s="415"/>
    </row>
    <row r="707" spans="14:17" ht="12.75">
      <c r="N707" s="415"/>
      <c r="O707" s="415"/>
      <c r="P707" s="415"/>
      <c r="Q707" s="415"/>
    </row>
    <row r="708" spans="14:17" ht="12.75">
      <c r="N708" s="415"/>
      <c r="O708" s="415"/>
      <c r="P708" s="415"/>
      <c r="Q708" s="415"/>
    </row>
    <row r="709" spans="14:17" ht="12.75">
      <c r="N709" s="415"/>
      <c r="O709" s="415"/>
      <c r="P709" s="415"/>
      <c r="Q709" s="415"/>
    </row>
    <row r="710" spans="14:17" ht="12.75">
      <c r="N710" s="415"/>
      <c r="O710" s="415"/>
      <c r="P710" s="415"/>
      <c r="Q710" s="415"/>
    </row>
    <row r="711" spans="14:17" ht="12.75">
      <c r="N711" s="415"/>
      <c r="O711" s="415"/>
      <c r="P711" s="415"/>
      <c r="Q711" s="415"/>
    </row>
    <row r="712" spans="14:17" ht="12.75">
      <c r="N712" s="415"/>
      <c r="O712" s="415"/>
      <c r="P712" s="415"/>
      <c r="Q712" s="415"/>
    </row>
    <row r="713" spans="14:17" ht="12.75">
      <c r="N713" s="415"/>
      <c r="O713" s="415"/>
      <c r="P713" s="415"/>
      <c r="Q713" s="415"/>
    </row>
    <row r="714" spans="14:17" ht="12.75">
      <c r="N714" s="415"/>
      <c r="O714" s="415"/>
      <c r="P714" s="415"/>
      <c r="Q714" s="415"/>
    </row>
    <row r="715" spans="14:17" ht="12.75">
      <c r="N715" s="415"/>
      <c r="O715" s="415"/>
      <c r="P715" s="415"/>
      <c r="Q715" s="415"/>
    </row>
    <row r="716" spans="14:17" ht="12.75">
      <c r="N716" s="415"/>
      <c r="O716" s="415"/>
      <c r="P716" s="415"/>
      <c r="Q716" s="415"/>
    </row>
    <row r="717" spans="14:17" ht="12.75">
      <c r="N717" s="415"/>
      <c r="O717" s="415"/>
      <c r="P717" s="415"/>
      <c r="Q717" s="415"/>
    </row>
    <row r="718" spans="14:17" ht="12.75">
      <c r="N718" s="415"/>
      <c r="O718" s="415"/>
      <c r="P718" s="415"/>
      <c r="Q718" s="415"/>
    </row>
    <row r="719" spans="14:17" ht="12.75">
      <c r="N719" s="415"/>
      <c r="O719" s="415"/>
      <c r="P719" s="415"/>
      <c r="Q719" s="415"/>
    </row>
    <row r="720" spans="14:17" ht="12.75">
      <c r="N720" s="415"/>
      <c r="O720" s="415"/>
      <c r="P720" s="415"/>
      <c r="Q720" s="415"/>
    </row>
    <row r="721" spans="14:17" ht="12.75">
      <c r="N721" s="415"/>
      <c r="O721" s="415"/>
      <c r="P721" s="415"/>
      <c r="Q721" s="415"/>
    </row>
    <row r="722" spans="14:17" ht="12.75">
      <c r="N722" s="415"/>
      <c r="O722" s="415"/>
      <c r="P722" s="415"/>
      <c r="Q722" s="415"/>
    </row>
    <row r="723" spans="14:17" ht="12.75">
      <c r="N723" s="415"/>
      <c r="O723" s="415"/>
      <c r="P723" s="415"/>
      <c r="Q723" s="415"/>
    </row>
    <row r="724" spans="14:17" ht="12.75">
      <c r="N724" s="415"/>
      <c r="O724" s="415"/>
      <c r="P724" s="415"/>
      <c r="Q724" s="415"/>
    </row>
    <row r="725" spans="14:17" ht="12.75">
      <c r="N725" s="415"/>
      <c r="O725" s="415"/>
      <c r="P725" s="415"/>
      <c r="Q725" s="415"/>
    </row>
    <row r="726" spans="14:17" ht="12.75">
      <c r="N726" s="415"/>
      <c r="O726" s="415"/>
      <c r="P726" s="415"/>
      <c r="Q726" s="415"/>
    </row>
    <row r="727" spans="14:17" ht="12.75">
      <c r="N727" s="415"/>
      <c r="O727" s="415"/>
      <c r="P727" s="415"/>
      <c r="Q727" s="415"/>
    </row>
    <row r="728" spans="14:17" ht="12.75">
      <c r="N728" s="415"/>
      <c r="O728" s="415"/>
      <c r="P728" s="415"/>
      <c r="Q728" s="415"/>
    </row>
    <row r="729" spans="14:17" ht="12.75">
      <c r="N729" s="415"/>
      <c r="O729" s="415"/>
      <c r="P729" s="415"/>
      <c r="Q729" s="415"/>
    </row>
    <row r="730" spans="14:17" ht="12.75">
      <c r="N730" s="415"/>
      <c r="O730" s="415"/>
      <c r="P730" s="415"/>
      <c r="Q730" s="415"/>
    </row>
    <row r="731" spans="14:17" ht="12.75">
      <c r="N731" s="415"/>
      <c r="O731" s="415"/>
      <c r="P731" s="415"/>
      <c r="Q731" s="415"/>
    </row>
    <row r="732" spans="14:17" ht="12.75">
      <c r="N732" s="415"/>
      <c r="O732" s="415"/>
      <c r="P732" s="415"/>
      <c r="Q732" s="415"/>
    </row>
    <row r="733" spans="14:17" ht="12.75">
      <c r="N733" s="415"/>
      <c r="O733" s="415"/>
      <c r="P733" s="415"/>
      <c r="Q733" s="415"/>
    </row>
    <row r="734" spans="14:17" ht="12.75">
      <c r="N734" s="415"/>
      <c r="O734" s="415"/>
      <c r="P734" s="415"/>
      <c r="Q734" s="415"/>
    </row>
    <row r="735" spans="14:17" ht="12.75">
      <c r="N735" s="415"/>
      <c r="O735" s="415"/>
      <c r="P735" s="415"/>
      <c r="Q735" s="415"/>
    </row>
    <row r="736" spans="14:17" ht="12.75">
      <c r="N736" s="415"/>
      <c r="O736" s="415"/>
      <c r="P736" s="415"/>
      <c r="Q736" s="415"/>
    </row>
    <row r="737" spans="14:17" ht="12.75">
      <c r="N737" s="415"/>
      <c r="O737" s="415"/>
      <c r="P737" s="415"/>
      <c r="Q737" s="415"/>
    </row>
    <row r="738" spans="14:17" ht="12.75">
      <c r="N738" s="415"/>
      <c r="O738" s="415"/>
      <c r="P738" s="415"/>
      <c r="Q738" s="415"/>
    </row>
    <row r="739" spans="14:17" ht="12.75">
      <c r="N739" s="415"/>
      <c r="O739" s="415"/>
      <c r="P739" s="415"/>
      <c r="Q739" s="415"/>
    </row>
    <row r="740" spans="14:17" ht="12.75">
      <c r="N740" s="415"/>
      <c r="O740" s="415"/>
      <c r="P740" s="415"/>
      <c r="Q740" s="415"/>
    </row>
    <row r="741" spans="14:17" ht="12.75">
      <c r="N741" s="415"/>
      <c r="O741" s="415"/>
      <c r="P741" s="415"/>
      <c r="Q741" s="415"/>
    </row>
    <row r="742" spans="14:17" ht="12.75">
      <c r="N742" s="415"/>
      <c r="O742" s="415"/>
      <c r="P742" s="415"/>
      <c r="Q742" s="415"/>
    </row>
    <row r="743" spans="14:17" ht="12.75">
      <c r="N743" s="415"/>
      <c r="O743" s="415"/>
      <c r="P743" s="415"/>
      <c r="Q743" s="415"/>
    </row>
    <row r="744" spans="14:17" ht="12.75">
      <c r="N744" s="415"/>
      <c r="O744" s="415"/>
      <c r="P744" s="415"/>
      <c r="Q744" s="415"/>
    </row>
    <row r="745" spans="14:17" ht="12.75">
      <c r="N745" s="415"/>
      <c r="O745" s="415"/>
      <c r="P745" s="415"/>
      <c r="Q745" s="415"/>
    </row>
    <row r="746" spans="14:17" ht="12.75">
      <c r="N746" s="415"/>
      <c r="O746" s="415"/>
      <c r="P746" s="415"/>
      <c r="Q746" s="415"/>
    </row>
    <row r="747" spans="14:17" ht="12.75">
      <c r="N747" s="415"/>
      <c r="O747" s="415"/>
      <c r="P747" s="415"/>
      <c r="Q747" s="415"/>
    </row>
    <row r="748" spans="14:17" ht="12.75">
      <c r="N748" s="415"/>
      <c r="O748" s="415"/>
      <c r="P748" s="415"/>
      <c r="Q748" s="415"/>
    </row>
    <row r="749" spans="14:17" ht="12.75">
      <c r="N749" s="415"/>
      <c r="O749" s="415"/>
      <c r="P749" s="415"/>
      <c r="Q749" s="415"/>
    </row>
    <row r="750" spans="14:17" ht="12.75">
      <c r="N750" s="415"/>
      <c r="O750" s="415"/>
      <c r="P750" s="415"/>
      <c r="Q750" s="415"/>
    </row>
    <row r="751" spans="14:17" ht="12.75">
      <c r="N751" s="415"/>
      <c r="O751" s="415"/>
      <c r="P751" s="415"/>
      <c r="Q751" s="415"/>
    </row>
    <row r="752" spans="14:17" ht="12.75">
      <c r="N752" s="415"/>
      <c r="O752" s="415"/>
      <c r="P752" s="415"/>
      <c r="Q752" s="415"/>
    </row>
    <row r="753" spans="14:17" ht="12.75">
      <c r="N753" s="415"/>
      <c r="O753" s="415"/>
      <c r="P753" s="415"/>
      <c r="Q753" s="415"/>
    </row>
    <row r="754" spans="14:17" ht="12.75">
      <c r="N754" s="415"/>
      <c r="O754" s="415"/>
      <c r="P754" s="415"/>
      <c r="Q754" s="415"/>
    </row>
    <row r="755" spans="14:17" ht="12.75">
      <c r="N755" s="415"/>
      <c r="O755" s="415"/>
      <c r="P755" s="415"/>
      <c r="Q755" s="415"/>
    </row>
    <row r="756" spans="14:17" ht="12.75">
      <c r="N756" s="415"/>
      <c r="O756" s="415"/>
      <c r="P756" s="415"/>
      <c r="Q756" s="415"/>
    </row>
    <row r="757" spans="14:17" ht="12.75">
      <c r="N757" s="415"/>
      <c r="O757" s="415"/>
      <c r="P757" s="415"/>
      <c r="Q757" s="415"/>
    </row>
    <row r="758" spans="14:17" ht="12.75">
      <c r="N758" s="415"/>
      <c r="O758" s="415"/>
      <c r="P758" s="415"/>
      <c r="Q758" s="415"/>
    </row>
    <row r="759" spans="14:17" ht="12.75">
      <c r="N759" s="415"/>
      <c r="O759" s="415"/>
      <c r="P759" s="415"/>
      <c r="Q759" s="415"/>
    </row>
    <row r="760" spans="14:17" ht="12.75">
      <c r="N760" s="415"/>
      <c r="O760" s="415"/>
      <c r="P760" s="415"/>
      <c r="Q760" s="415"/>
    </row>
    <row r="761" spans="14:17" ht="12.75">
      <c r="N761" s="415"/>
      <c r="O761" s="415"/>
      <c r="P761" s="415"/>
      <c r="Q761" s="415"/>
    </row>
    <row r="762" spans="14:17" ht="12.75">
      <c r="N762" s="415"/>
      <c r="O762" s="415"/>
      <c r="P762" s="415"/>
      <c r="Q762" s="415"/>
    </row>
    <row r="763" spans="14:17" ht="12.75">
      <c r="N763" s="415"/>
      <c r="O763" s="415"/>
      <c r="P763" s="415"/>
      <c r="Q763" s="415"/>
    </row>
    <row r="764" spans="14:17" ht="12.75">
      <c r="N764" s="415"/>
      <c r="O764" s="415"/>
      <c r="P764" s="415"/>
      <c r="Q764" s="415"/>
    </row>
    <row r="765" spans="14:17" ht="12.75">
      <c r="N765" s="415"/>
      <c r="O765" s="415"/>
      <c r="P765" s="415"/>
      <c r="Q765" s="415"/>
    </row>
    <row r="766" spans="14:17" ht="12.75">
      <c r="N766" s="415"/>
      <c r="O766" s="415"/>
      <c r="P766" s="415"/>
      <c r="Q766" s="415"/>
    </row>
    <row r="767" spans="14:17" ht="12.75">
      <c r="N767" s="415"/>
      <c r="O767" s="415"/>
      <c r="P767" s="415"/>
      <c r="Q767" s="415"/>
    </row>
    <row r="768" spans="14:17" ht="12.75">
      <c r="N768" s="415"/>
      <c r="O768" s="415"/>
      <c r="P768" s="415"/>
      <c r="Q768" s="415"/>
    </row>
    <row r="769" spans="14:17" ht="12.75">
      <c r="N769" s="415"/>
      <c r="O769" s="415"/>
      <c r="P769" s="415"/>
      <c r="Q769" s="415"/>
    </row>
    <row r="770" spans="14:17" ht="12.75">
      <c r="N770" s="415"/>
      <c r="O770" s="415"/>
      <c r="P770" s="415"/>
      <c r="Q770" s="415"/>
    </row>
    <row r="771" spans="14:17" ht="12.75">
      <c r="N771" s="415"/>
      <c r="O771" s="415"/>
      <c r="P771" s="415"/>
      <c r="Q771" s="415"/>
    </row>
    <row r="772" spans="14:17" ht="12.75">
      <c r="N772" s="415"/>
      <c r="O772" s="415"/>
      <c r="P772" s="415"/>
      <c r="Q772" s="415"/>
    </row>
    <row r="773" spans="14:17" ht="12.75">
      <c r="N773" s="415"/>
      <c r="O773" s="415"/>
      <c r="P773" s="415"/>
      <c r="Q773" s="415"/>
    </row>
    <row r="774" spans="14:17" ht="12.75">
      <c r="N774" s="415"/>
      <c r="O774" s="415"/>
      <c r="P774" s="415"/>
      <c r="Q774" s="415"/>
    </row>
    <row r="775" spans="14:17" ht="12.75">
      <c r="N775" s="415"/>
      <c r="O775" s="415"/>
      <c r="P775" s="415"/>
      <c r="Q775" s="415"/>
    </row>
    <row r="776" spans="14:17" ht="12.75">
      <c r="N776" s="415"/>
      <c r="O776" s="415"/>
      <c r="P776" s="415"/>
      <c r="Q776" s="415"/>
    </row>
    <row r="777" spans="14:17" ht="12.75">
      <c r="N777" s="415"/>
      <c r="O777" s="415"/>
      <c r="P777" s="415"/>
      <c r="Q777" s="415"/>
    </row>
    <row r="778" spans="14:17" ht="12.75">
      <c r="N778" s="415"/>
      <c r="O778" s="415"/>
      <c r="P778" s="415"/>
      <c r="Q778" s="415"/>
    </row>
    <row r="779" spans="14:17" ht="12.75">
      <c r="N779" s="415"/>
      <c r="O779" s="415"/>
      <c r="P779" s="415"/>
      <c r="Q779" s="415"/>
    </row>
    <row r="780" spans="14:17" ht="12.75">
      <c r="N780" s="415"/>
      <c r="O780" s="415"/>
      <c r="P780" s="415"/>
      <c r="Q780" s="415"/>
    </row>
    <row r="781" spans="14:17" ht="12.75">
      <c r="N781" s="415"/>
      <c r="O781" s="415"/>
      <c r="P781" s="415"/>
      <c r="Q781" s="415"/>
    </row>
    <row r="782" spans="14:17" ht="12.75">
      <c r="N782" s="415"/>
      <c r="O782" s="415"/>
      <c r="P782" s="415"/>
      <c r="Q782" s="415"/>
    </row>
    <row r="783" spans="14:17" ht="12.75">
      <c r="N783" s="415"/>
      <c r="O783" s="415"/>
      <c r="P783" s="415"/>
      <c r="Q783" s="415"/>
    </row>
    <row r="784" spans="14:17" ht="12.75">
      <c r="N784" s="415"/>
      <c r="O784" s="415"/>
      <c r="P784" s="415"/>
      <c r="Q784" s="415"/>
    </row>
    <row r="785" spans="14:17" ht="12.75">
      <c r="N785" s="415"/>
      <c r="O785" s="415"/>
      <c r="P785" s="415"/>
      <c r="Q785" s="415"/>
    </row>
    <row r="786" spans="14:17" ht="12.75">
      <c r="N786" s="415"/>
      <c r="O786" s="415"/>
      <c r="P786" s="415"/>
      <c r="Q786" s="415"/>
    </row>
    <row r="787" spans="14:17" ht="12.75">
      <c r="N787" s="415"/>
      <c r="O787" s="415"/>
      <c r="P787" s="415"/>
      <c r="Q787" s="415"/>
    </row>
    <row r="788" spans="14:17" ht="12.75">
      <c r="N788" s="415"/>
      <c r="O788" s="415"/>
      <c r="P788" s="415"/>
      <c r="Q788" s="415"/>
    </row>
    <row r="789" spans="14:17" ht="12.75">
      <c r="N789" s="415"/>
      <c r="O789" s="415"/>
      <c r="P789" s="415"/>
      <c r="Q789" s="415"/>
    </row>
    <row r="790" spans="14:17" ht="12.75">
      <c r="N790" s="415"/>
      <c r="O790" s="415"/>
      <c r="P790" s="415"/>
      <c r="Q790" s="415"/>
    </row>
    <row r="791" spans="14:17" ht="12.75">
      <c r="N791" s="415"/>
      <c r="O791" s="415"/>
      <c r="P791" s="415"/>
      <c r="Q791" s="415"/>
    </row>
    <row r="792" spans="14:17" ht="12.75">
      <c r="N792" s="415"/>
      <c r="O792" s="415"/>
      <c r="P792" s="415"/>
      <c r="Q792" s="415"/>
    </row>
    <row r="793" spans="14:17" ht="12.75">
      <c r="N793" s="415"/>
      <c r="O793" s="415"/>
      <c r="P793" s="415"/>
      <c r="Q793" s="415"/>
    </row>
    <row r="794" spans="14:17" ht="12.75">
      <c r="N794" s="415"/>
      <c r="O794" s="415"/>
      <c r="P794" s="415"/>
      <c r="Q794" s="415"/>
    </row>
    <row r="795" spans="14:17" ht="12.75">
      <c r="N795" s="415"/>
      <c r="O795" s="415"/>
      <c r="P795" s="415"/>
      <c r="Q795" s="415"/>
    </row>
    <row r="796" spans="14:17" ht="12.75">
      <c r="N796" s="415"/>
      <c r="O796" s="415"/>
      <c r="P796" s="415"/>
      <c r="Q796" s="415"/>
    </row>
    <row r="797" spans="14:17" ht="12.75">
      <c r="N797" s="415"/>
      <c r="O797" s="415"/>
      <c r="P797" s="415"/>
      <c r="Q797" s="415"/>
    </row>
    <row r="798" spans="14:17" ht="12.75">
      <c r="N798" s="415"/>
      <c r="O798" s="415"/>
      <c r="P798" s="415"/>
      <c r="Q798" s="415"/>
    </row>
    <row r="799" spans="14:17" ht="12.75">
      <c r="N799" s="415"/>
      <c r="O799" s="415"/>
      <c r="P799" s="415"/>
      <c r="Q799" s="415"/>
    </row>
    <row r="800" spans="14:17" ht="12.75">
      <c r="N800" s="415"/>
      <c r="O800" s="415"/>
      <c r="P800" s="415"/>
      <c r="Q800" s="415"/>
    </row>
    <row r="801" spans="14:17" ht="12.75">
      <c r="N801" s="415"/>
      <c r="O801" s="415"/>
      <c r="P801" s="415"/>
      <c r="Q801" s="415"/>
    </row>
    <row r="802" spans="14:17" ht="12.75">
      <c r="N802" s="415"/>
      <c r="O802" s="415"/>
      <c r="P802" s="415"/>
      <c r="Q802" s="415"/>
    </row>
    <row r="803" spans="14:17" ht="12.75">
      <c r="N803" s="415"/>
      <c r="O803" s="415"/>
      <c r="P803" s="415"/>
      <c r="Q803" s="415"/>
    </row>
    <row r="804" spans="14:17" ht="12.75">
      <c r="N804" s="415"/>
      <c r="O804" s="415"/>
      <c r="P804" s="415"/>
      <c r="Q804" s="415"/>
    </row>
    <row r="805" spans="14:17" ht="12.75">
      <c r="N805" s="415"/>
      <c r="O805" s="415"/>
      <c r="P805" s="415"/>
      <c r="Q805" s="415"/>
    </row>
    <row r="806" spans="14:17" ht="12.75">
      <c r="N806" s="415"/>
      <c r="O806" s="415"/>
      <c r="P806" s="415"/>
      <c r="Q806" s="415"/>
    </row>
    <row r="807" spans="14:17" ht="12.75">
      <c r="N807" s="415"/>
      <c r="O807" s="415"/>
      <c r="P807" s="415"/>
      <c r="Q807" s="415"/>
    </row>
    <row r="808" spans="14:17" ht="12.75">
      <c r="N808" s="415"/>
      <c r="O808" s="415"/>
      <c r="P808" s="415"/>
      <c r="Q808" s="415"/>
    </row>
    <row r="809" spans="14:17" ht="12.75">
      <c r="N809" s="415"/>
      <c r="O809" s="415"/>
      <c r="P809" s="415"/>
      <c r="Q809" s="415"/>
    </row>
    <row r="810" spans="14:17" ht="12.75">
      <c r="N810" s="415"/>
      <c r="O810" s="415"/>
      <c r="P810" s="415"/>
      <c r="Q810" s="415"/>
    </row>
    <row r="811" spans="14:17" ht="12.75">
      <c r="N811" s="415"/>
      <c r="O811" s="415"/>
      <c r="P811" s="415"/>
      <c r="Q811" s="415"/>
    </row>
    <row r="812" spans="14:17" ht="12.75">
      <c r="N812" s="415"/>
      <c r="O812" s="415"/>
      <c r="P812" s="415"/>
      <c r="Q812" s="415"/>
    </row>
    <row r="813" spans="14:17" ht="12.75">
      <c r="N813" s="415"/>
      <c r="O813" s="415"/>
      <c r="P813" s="415"/>
      <c r="Q813" s="415"/>
    </row>
    <row r="814" spans="14:17" ht="12.75">
      <c r="N814" s="415"/>
      <c r="O814" s="415"/>
      <c r="P814" s="415"/>
      <c r="Q814" s="415"/>
    </row>
    <row r="815" spans="14:17" ht="12.75">
      <c r="N815" s="415"/>
      <c r="O815" s="415"/>
      <c r="P815" s="415"/>
      <c r="Q815" s="415"/>
    </row>
    <row r="816" spans="14:17" ht="12.75">
      <c r="N816" s="415"/>
      <c r="O816" s="415"/>
      <c r="P816" s="415"/>
      <c r="Q816" s="415"/>
    </row>
    <row r="817" spans="14:17" ht="12.75">
      <c r="N817" s="415"/>
      <c r="O817" s="415"/>
      <c r="P817" s="415"/>
      <c r="Q817" s="415"/>
    </row>
    <row r="818" spans="14:17" ht="12.75">
      <c r="N818" s="415"/>
      <c r="O818" s="415"/>
      <c r="P818" s="415"/>
      <c r="Q818" s="415"/>
    </row>
    <row r="819" spans="14:17" ht="12.75">
      <c r="N819" s="415"/>
      <c r="O819" s="415"/>
      <c r="P819" s="415"/>
      <c r="Q819" s="415"/>
    </row>
    <row r="820" spans="14:17" ht="12.75">
      <c r="N820" s="415"/>
      <c r="O820" s="415"/>
      <c r="P820" s="415"/>
      <c r="Q820" s="415"/>
    </row>
    <row r="821" spans="14:17" ht="12.75">
      <c r="N821" s="415"/>
      <c r="O821" s="415"/>
      <c r="P821" s="415"/>
      <c r="Q821" s="415"/>
    </row>
    <row r="822" spans="14:17" ht="12.75">
      <c r="N822" s="415"/>
      <c r="O822" s="415"/>
      <c r="P822" s="415"/>
      <c r="Q822" s="415"/>
    </row>
    <row r="823" spans="14:17" ht="12.75">
      <c r="N823" s="415"/>
      <c r="O823" s="415"/>
      <c r="P823" s="415"/>
      <c r="Q823" s="415"/>
    </row>
    <row r="824" spans="14:17" ht="12.75">
      <c r="N824" s="415"/>
      <c r="O824" s="415"/>
      <c r="P824" s="415"/>
      <c r="Q824" s="415"/>
    </row>
    <row r="825" spans="14:17" ht="12.75">
      <c r="N825" s="415"/>
      <c r="O825" s="415"/>
      <c r="P825" s="415"/>
      <c r="Q825" s="415"/>
    </row>
    <row r="826" spans="14:17" ht="12.75">
      <c r="N826" s="415"/>
      <c r="O826" s="415"/>
      <c r="P826" s="415"/>
      <c r="Q826" s="415"/>
    </row>
    <row r="827" spans="14:17" ht="12.75">
      <c r="N827" s="415"/>
      <c r="O827" s="415"/>
      <c r="P827" s="415"/>
      <c r="Q827" s="415"/>
    </row>
    <row r="828" spans="14:17" ht="12.75">
      <c r="N828" s="415"/>
      <c r="O828" s="415"/>
      <c r="P828" s="415"/>
      <c r="Q828" s="415"/>
    </row>
    <row r="829" spans="14:17" ht="12.75">
      <c r="N829" s="415"/>
      <c r="O829" s="415"/>
      <c r="P829" s="415"/>
      <c r="Q829" s="415"/>
    </row>
    <row r="830" spans="14:17" ht="12.75">
      <c r="N830" s="415"/>
      <c r="O830" s="415"/>
      <c r="P830" s="415"/>
      <c r="Q830" s="415"/>
    </row>
    <row r="831" spans="14:17" ht="12.75">
      <c r="N831" s="415"/>
      <c r="O831" s="415"/>
      <c r="P831" s="415"/>
      <c r="Q831" s="415"/>
    </row>
    <row r="832" spans="14:17" ht="12.75">
      <c r="N832" s="415"/>
      <c r="O832" s="415"/>
      <c r="P832" s="415"/>
      <c r="Q832" s="415"/>
    </row>
    <row r="833" spans="14:17" ht="12.75">
      <c r="N833" s="415"/>
      <c r="O833" s="415"/>
      <c r="P833" s="415"/>
      <c r="Q833" s="415"/>
    </row>
    <row r="834" spans="14:17" ht="12.75">
      <c r="N834" s="415"/>
      <c r="O834" s="415"/>
      <c r="P834" s="415"/>
      <c r="Q834" s="415"/>
    </row>
    <row r="835" spans="14:17" ht="12.75">
      <c r="N835" s="415"/>
      <c r="O835" s="415"/>
      <c r="P835" s="415"/>
      <c r="Q835" s="415"/>
    </row>
    <row r="836" spans="14:17" ht="12.75">
      <c r="N836" s="415"/>
      <c r="O836" s="415"/>
      <c r="P836" s="415"/>
      <c r="Q836" s="415"/>
    </row>
    <row r="837" spans="14:17" ht="12.75">
      <c r="N837" s="415"/>
      <c r="O837" s="415"/>
      <c r="P837" s="415"/>
      <c r="Q837" s="415"/>
    </row>
    <row r="838" spans="14:17" ht="12.75">
      <c r="N838" s="415"/>
      <c r="O838" s="415"/>
      <c r="P838" s="415"/>
      <c r="Q838" s="415"/>
    </row>
    <row r="839" spans="14:17" ht="12.75">
      <c r="N839" s="415"/>
      <c r="O839" s="415"/>
      <c r="P839" s="415"/>
      <c r="Q839" s="415"/>
    </row>
    <row r="840" spans="14:17" ht="12.75">
      <c r="N840" s="415"/>
      <c r="O840" s="415"/>
      <c r="P840" s="415"/>
      <c r="Q840" s="415"/>
    </row>
    <row r="841" spans="14:17" ht="12.75">
      <c r="N841" s="415"/>
      <c r="O841" s="415"/>
      <c r="P841" s="415"/>
      <c r="Q841" s="415"/>
    </row>
    <row r="842" spans="14:17" ht="12.75">
      <c r="N842" s="415"/>
      <c r="O842" s="415"/>
      <c r="P842" s="415"/>
      <c r="Q842" s="415"/>
    </row>
    <row r="843" spans="14:17" ht="12.75">
      <c r="N843" s="415"/>
      <c r="O843" s="415"/>
      <c r="P843" s="415"/>
      <c r="Q843" s="415"/>
    </row>
    <row r="844" spans="14:17" ht="12.75">
      <c r="N844" s="415"/>
      <c r="O844" s="415"/>
      <c r="P844" s="415"/>
      <c r="Q844" s="415"/>
    </row>
    <row r="845" spans="14:17" ht="12.75">
      <c r="N845" s="415"/>
      <c r="O845" s="415"/>
      <c r="P845" s="415"/>
      <c r="Q845" s="415"/>
    </row>
    <row r="846" spans="14:17" ht="12.75">
      <c r="N846" s="415"/>
      <c r="O846" s="415"/>
      <c r="P846" s="415"/>
      <c r="Q846" s="415"/>
    </row>
    <row r="847" spans="14:17" ht="12.75">
      <c r="N847" s="415"/>
      <c r="O847" s="415"/>
      <c r="P847" s="415"/>
      <c r="Q847" s="415"/>
    </row>
    <row r="848" spans="14:17" ht="12.75">
      <c r="N848" s="415"/>
      <c r="O848" s="415"/>
      <c r="P848" s="415"/>
      <c r="Q848" s="415"/>
    </row>
    <row r="849" spans="14:17" ht="12.75">
      <c r="N849" s="415"/>
      <c r="O849" s="415"/>
      <c r="P849" s="415"/>
      <c r="Q849" s="415"/>
    </row>
    <row r="850" spans="14:17" ht="12.75">
      <c r="N850" s="415"/>
      <c r="O850" s="415"/>
      <c r="P850" s="415"/>
      <c r="Q850" s="415"/>
    </row>
    <row r="851" spans="14:17" ht="12.75">
      <c r="N851" s="415"/>
      <c r="O851" s="415"/>
      <c r="P851" s="415"/>
      <c r="Q851" s="415"/>
    </row>
    <row r="852" spans="14:17" ht="12.75">
      <c r="N852" s="415"/>
      <c r="O852" s="415"/>
      <c r="P852" s="415"/>
      <c r="Q852" s="415"/>
    </row>
    <row r="853" spans="14:17" ht="12.75">
      <c r="N853" s="415"/>
      <c r="O853" s="415"/>
      <c r="P853" s="415"/>
      <c r="Q853" s="415"/>
    </row>
    <row r="854" spans="14:17" ht="12.75">
      <c r="N854" s="415"/>
      <c r="O854" s="415"/>
      <c r="P854" s="415"/>
      <c r="Q854" s="415"/>
    </row>
    <row r="855" spans="14:17" ht="12.75">
      <c r="N855" s="415"/>
      <c r="O855" s="415"/>
      <c r="P855" s="415"/>
      <c r="Q855" s="415"/>
    </row>
    <row r="856" spans="14:17" ht="12.75">
      <c r="N856" s="415"/>
      <c r="O856" s="415"/>
      <c r="P856" s="415"/>
      <c r="Q856" s="415"/>
    </row>
    <row r="857" spans="14:17" ht="12.75">
      <c r="N857" s="415"/>
      <c r="O857" s="415"/>
      <c r="P857" s="415"/>
      <c r="Q857" s="415"/>
    </row>
    <row r="858" spans="14:17" ht="12.75">
      <c r="N858" s="415"/>
      <c r="O858" s="415"/>
      <c r="P858" s="415"/>
      <c r="Q858" s="415"/>
    </row>
    <row r="859" spans="14:17" ht="12.75">
      <c r="N859" s="415"/>
      <c r="O859" s="415"/>
      <c r="P859" s="415"/>
      <c r="Q859" s="415"/>
    </row>
    <row r="860" spans="14:17" ht="12.75">
      <c r="N860" s="415"/>
      <c r="O860" s="415"/>
      <c r="P860" s="415"/>
      <c r="Q860" s="415"/>
    </row>
    <row r="861" spans="14:17" ht="12.75">
      <c r="N861" s="415"/>
      <c r="O861" s="415"/>
      <c r="P861" s="415"/>
      <c r="Q861" s="415"/>
    </row>
    <row r="862" spans="14:17" ht="12.75">
      <c r="N862" s="415"/>
      <c r="O862" s="415"/>
      <c r="P862" s="415"/>
      <c r="Q862" s="415"/>
    </row>
    <row r="863" spans="14:17" ht="12.75">
      <c r="N863" s="415"/>
      <c r="O863" s="415"/>
      <c r="P863" s="415"/>
      <c r="Q863" s="415"/>
    </row>
    <row r="864" spans="14:17" ht="12.75">
      <c r="N864" s="415"/>
      <c r="O864" s="415"/>
      <c r="P864" s="415"/>
      <c r="Q864" s="415"/>
    </row>
    <row r="865" spans="14:17" ht="12.75">
      <c r="N865" s="415"/>
      <c r="O865" s="415"/>
      <c r="P865" s="415"/>
      <c r="Q865" s="415"/>
    </row>
    <row r="866" spans="14:17" ht="12.75">
      <c r="N866" s="415"/>
      <c r="O866" s="415"/>
      <c r="P866" s="415"/>
      <c r="Q866" s="415"/>
    </row>
    <row r="867" spans="14:17" ht="12.75">
      <c r="N867" s="415"/>
      <c r="O867" s="415"/>
      <c r="P867" s="415"/>
      <c r="Q867" s="415"/>
    </row>
    <row r="868" spans="14:17" ht="12.75">
      <c r="N868" s="415"/>
      <c r="O868" s="415"/>
      <c r="P868" s="415"/>
      <c r="Q868" s="415"/>
    </row>
    <row r="869" spans="14:17" ht="12.75">
      <c r="N869" s="415"/>
      <c r="O869" s="415"/>
      <c r="P869" s="415"/>
      <c r="Q869" s="415"/>
    </row>
    <row r="870" spans="14:17" ht="12.75">
      <c r="N870" s="415"/>
      <c r="O870" s="415"/>
      <c r="P870" s="415"/>
      <c r="Q870" s="415"/>
    </row>
    <row r="871" spans="14:17" ht="12.75">
      <c r="N871" s="415"/>
      <c r="O871" s="415"/>
      <c r="P871" s="415"/>
      <c r="Q871" s="415"/>
    </row>
    <row r="872" spans="14:17" ht="12.75">
      <c r="N872" s="415"/>
      <c r="O872" s="415"/>
      <c r="P872" s="415"/>
      <c r="Q872" s="415"/>
    </row>
    <row r="873" spans="14:17" ht="12.75">
      <c r="N873" s="415"/>
      <c r="O873" s="415"/>
      <c r="P873" s="415"/>
      <c r="Q873" s="415"/>
    </row>
    <row r="874" spans="14:17" ht="12.75">
      <c r="N874" s="415"/>
      <c r="O874" s="415"/>
      <c r="P874" s="415"/>
      <c r="Q874" s="415"/>
    </row>
    <row r="875" spans="14:17" ht="12.75">
      <c r="N875" s="415"/>
      <c r="O875" s="415"/>
      <c r="P875" s="415"/>
      <c r="Q875" s="415"/>
    </row>
    <row r="876" spans="14:17" ht="12.75">
      <c r="N876" s="415"/>
      <c r="O876" s="415"/>
      <c r="P876" s="415"/>
      <c r="Q876" s="415"/>
    </row>
    <row r="877" spans="14:17" ht="12.75">
      <c r="N877" s="415"/>
      <c r="O877" s="415"/>
      <c r="P877" s="415"/>
      <c r="Q877" s="415"/>
    </row>
    <row r="878" spans="14:17" ht="12.75">
      <c r="N878" s="415"/>
      <c r="O878" s="415"/>
      <c r="P878" s="415"/>
      <c r="Q878" s="415"/>
    </row>
    <row r="879" spans="14:17" ht="12.75">
      <c r="N879" s="415"/>
      <c r="O879" s="415"/>
      <c r="P879" s="415"/>
      <c r="Q879" s="415"/>
    </row>
    <row r="880" spans="14:17" ht="12.75">
      <c r="N880" s="415"/>
      <c r="O880" s="415"/>
      <c r="P880" s="415"/>
      <c r="Q880" s="415"/>
    </row>
    <row r="881" spans="14:17" ht="12.75">
      <c r="N881" s="415"/>
      <c r="O881" s="415"/>
      <c r="P881" s="415"/>
      <c r="Q881" s="415"/>
    </row>
    <row r="882" spans="14:17" ht="12.75">
      <c r="N882" s="415"/>
      <c r="O882" s="415"/>
      <c r="P882" s="415"/>
      <c r="Q882" s="415"/>
    </row>
    <row r="883" spans="14:17" ht="12.75">
      <c r="N883" s="415"/>
      <c r="O883" s="415"/>
      <c r="P883" s="415"/>
      <c r="Q883" s="415"/>
    </row>
    <row r="884" spans="14:17" ht="12.75">
      <c r="N884" s="415"/>
      <c r="O884" s="415"/>
      <c r="P884" s="415"/>
      <c r="Q884" s="415"/>
    </row>
    <row r="885" spans="14:17" ht="12.75">
      <c r="N885" s="415"/>
      <c r="O885" s="415"/>
      <c r="P885" s="415"/>
      <c r="Q885" s="415"/>
    </row>
    <row r="886" spans="14:17" ht="12.75">
      <c r="N886" s="415"/>
      <c r="O886" s="415"/>
      <c r="P886" s="415"/>
      <c r="Q886" s="415"/>
    </row>
    <row r="887" spans="14:17" ht="12.75">
      <c r="N887" s="415"/>
      <c r="O887" s="415"/>
      <c r="P887" s="415"/>
      <c r="Q887" s="415"/>
    </row>
    <row r="888" spans="14:17" ht="12.75">
      <c r="N888" s="415"/>
      <c r="O888" s="415"/>
      <c r="P888" s="415"/>
      <c r="Q888" s="415"/>
    </row>
    <row r="889" spans="14:17" ht="12.75">
      <c r="N889" s="415"/>
      <c r="O889" s="415"/>
      <c r="P889" s="415"/>
      <c r="Q889" s="415"/>
    </row>
    <row r="890" spans="14:17" ht="12.75">
      <c r="N890" s="415"/>
      <c r="O890" s="415"/>
      <c r="P890" s="415"/>
      <c r="Q890" s="415"/>
    </row>
    <row r="891" spans="14:17" ht="12.75">
      <c r="N891" s="415"/>
      <c r="O891" s="415"/>
      <c r="P891" s="415"/>
      <c r="Q891" s="415"/>
    </row>
    <row r="892" spans="14:17" ht="12.75">
      <c r="N892" s="415"/>
      <c r="O892" s="415"/>
      <c r="P892" s="415"/>
      <c r="Q892" s="415"/>
    </row>
    <row r="893" spans="14:17" ht="12.75">
      <c r="N893" s="415"/>
      <c r="O893" s="415"/>
      <c r="P893" s="415"/>
      <c r="Q893" s="415"/>
    </row>
    <row r="894" spans="14:17" ht="12.75">
      <c r="N894" s="415"/>
      <c r="O894" s="415"/>
      <c r="P894" s="415"/>
      <c r="Q894" s="415"/>
    </row>
    <row r="895" spans="14:17" ht="12.75">
      <c r="N895" s="415"/>
      <c r="O895" s="415"/>
      <c r="P895" s="415"/>
      <c r="Q895" s="415"/>
    </row>
    <row r="896" spans="14:17" ht="12.75">
      <c r="N896" s="415"/>
      <c r="O896" s="415"/>
      <c r="P896" s="415"/>
      <c r="Q896" s="415"/>
    </row>
    <row r="897" spans="14:17" ht="12.75">
      <c r="N897" s="415"/>
      <c r="O897" s="415"/>
      <c r="P897" s="415"/>
      <c r="Q897" s="415"/>
    </row>
    <row r="898" spans="14:17" ht="12.75">
      <c r="N898" s="415"/>
      <c r="O898" s="415"/>
      <c r="P898" s="415"/>
      <c r="Q898" s="415"/>
    </row>
    <row r="899" spans="14:17" ht="12.75">
      <c r="N899" s="415"/>
      <c r="O899" s="415"/>
      <c r="P899" s="415"/>
      <c r="Q899" s="415"/>
    </row>
    <row r="900" spans="14:17" ht="12.75">
      <c r="N900" s="415"/>
      <c r="O900" s="415"/>
      <c r="P900" s="415"/>
      <c r="Q900" s="415"/>
    </row>
    <row r="901" spans="14:17" ht="12.75">
      <c r="N901" s="415"/>
      <c r="O901" s="415"/>
      <c r="P901" s="415"/>
      <c r="Q901" s="415"/>
    </row>
    <row r="902" spans="14:17" ht="12.75">
      <c r="N902" s="415"/>
      <c r="O902" s="415"/>
      <c r="P902" s="415"/>
      <c r="Q902" s="415"/>
    </row>
    <row r="903" spans="14:17" ht="12.75">
      <c r="N903" s="415"/>
      <c r="O903" s="415"/>
      <c r="P903" s="415"/>
      <c r="Q903" s="415"/>
    </row>
    <row r="904" spans="14:17" ht="12.75">
      <c r="N904" s="415"/>
      <c r="O904" s="415"/>
      <c r="P904" s="415"/>
      <c r="Q904" s="415"/>
    </row>
    <row r="905" spans="14:17" ht="12.75">
      <c r="N905" s="415"/>
      <c r="O905" s="415"/>
      <c r="P905" s="415"/>
      <c r="Q905" s="415"/>
    </row>
    <row r="906" spans="14:17" ht="12.75">
      <c r="N906" s="415"/>
      <c r="O906" s="415"/>
      <c r="P906" s="415"/>
      <c r="Q906" s="415"/>
    </row>
    <row r="907" spans="14:17" ht="12.75">
      <c r="N907" s="415"/>
      <c r="O907" s="415"/>
      <c r="P907" s="415"/>
      <c r="Q907" s="415"/>
    </row>
    <row r="908" spans="14:17" ht="12.75">
      <c r="N908" s="415"/>
      <c r="O908" s="415"/>
      <c r="P908" s="415"/>
      <c r="Q908" s="415"/>
    </row>
    <row r="909" spans="14:17" ht="12.75">
      <c r="N909" s="415"/>
      <c r="O909" s="415"/>
      <c r="P909" s="415"/>
      <c r="Q909" s="415"/>
    </row>
    <row r="910" spans="14:17" ht="12.75">
      <c r="N910" s="415"/>
      <c r="O910" s="415"/>
      <c r="P910" s="415"/>
      <c r="Q910" s="415"/>
    </row>
    <row r="911" spans="14:17" ht="12.75">
      <c r="N911" s="415"/>
      <c r="O911" s="415"/>
      <c r="P911" s="415"/>
      <c r="Q911" s="415"/>
    </row>
    <row r="912" spans="14:17" ht="12.75">
      <c r="N912" s="415"/>
      <c r="O912" s="415"/>
      <c r="P912" s="415"/>
      <c r="Q912" s="415"/>
    </row>
    <row r="913" spans="14:17" ht="12.75">
      <c r="N913" s="415"/>
      <c r="O913" s="415"/>
      <c r="P913" s="415"/>
      <c r="Q913" s="415"/>
    </row>
    <row r="914" spans="14:17" ht="12.75">
      <c r="N914" s="415"/>
      <c r="O914" s="415"/>
      <c r="P914" s="415"/>
      <c r="Q914" s="415"/>
    </row>
    <row r="915" spans="14:17" ht="12.75">
      <c r="N915" s="415"/>
      <c r="O915" s="415"/>
      <c r="P915" s="415"/>
      <c r="Q915" s="415"/>
    </row>
    <row r="916" spans="14:17" ht="12.75">
      <c r="N916" s="415"/>
      <c r="O916" s="415"/>
      <c r="P916" s="415"/>
      <c r="Q916" s="415"/>
    </row>
    <row r="917" spans="14:17" ht="12.75">
      <c r="N917" s="415"/>
      <c r="O917" s="415"/>
      <c r="P917" s="415"/>
      <c r="Q917" s="415"/>
    </row>
    <row r="918" spans="14:17" ht="12.75">
      <c r="N918" s="415"/>
      <c r="O918" s="415"/>
      <c r="P918" s="415"/>
      <c r="Q918" s="415"/>
    </row>
    <row r="919" spans="14:17" ht="12.75">
      <c r="N919" s="415"/>
      <c r="O919" s="415"/>
      <c r="P919" s="415"/>
      <c r="Q919" s="415"/>
    </row>
    <row r="920" spans="14:17" ht="12.75">
      <c r="N920" s="415"/>
      <c r="O920" s="415"/>
      <c r="P920" s="415"/>
      <c r="Q920" s="415"/>
    </row>
    <row r="921" spans="14:17" ht="12.75">
      <c r="N921" s="415"/>
      <c r="O921" s="415"/>
      <c r="P921" s="415"/>
      <c r="Q921" s="415"/>
    </row>
    <row r="922" spans="14:17" ht="12.75">
      <c r="N922" s="415"/>
      <c r="O922" s="415"/>
      <c r="P922" s="415"/>
      <c r="Q922" s="415"/>
    </row>
    <row r="923" spans="14:17" ht="12.75">
      <c r="N923" s="415"/>
      <c r="O923" s="415"/>
      <c r="P923" s="415"/>
      <c r="Q923" s="415"/>
    </row>
    <row r="924" spans="14:17" ht="12.75">
      <c r="N924" s="415"/>
      <c r="O924" s="415"/>
      <c r="P924" s="415"/>
      <c r="Q924" s="415"/>
    </row>
    <row r="925" spans="14:17" ht="12.75">
      <c r="N925" s="415"/>
      <c r="O925" s="415"/>
      <c r="P925" s="415"/>
      <c r="Q925" s="415"/>
    </row>
    <row r="926" spans="14:17" ht="12.75">
      <c r="N926" s="415"/>
      <c r="O926" s="415"/>
      <c r="P926" s="415"/>
      <c r="Q926" s="415"/>
    </row>
    <row r="927" spans="14:17" ht="12.75">
      <c r="N927" s="415"/>
      <c r="O927" s="415"/>
      <c r="P927" s="415"/>
      <c r="Q927" s="415"/>
    </row>
    <row r="928" spans="14:17" ht="12.75">
      <c r="N928" s="415"/>
      <c r="O928" s="415"/>
      <c r="P928" s="415"/>
      <c r="Q928" s="415"/>
    </row>
    <row r="929" spans="14:17" ht="12.75">
      <c r="N929" s="415"/>
      <c r="O929" s="415"/>
      <c r="P929" s="415"/>
      <c r="Q929" s="415"/>
    </row>
    <row r="930" spans="14:17" ht="12.75">
      <c r="N930" s="415"/>
      <c r="O930" s="415"/>
      <c r="P930" s="415"/>
      <c r="Q930" s="415"/>
    </row>
    <row r="931" spans="14:17" ht="12.75">
      <c r="N931" s="415"/>
      <c r="O931" s="415"/>
      <c r="P931" s="415"/>
      <c r="Q931" s="415"/>
    </row>
    <row r="932" spans="14:17" ht="12.75">
      <c r="N932" s="415"/>
      <c r="O932" s="415"/>
      <c r="P932" s="415"/>
      <c r="Q932" s="415"/>
    </row>
    <row r="933" spans="14:17" ht="12.75">
      <c r="N933" s="415"/>
      <c r="O933" s="415"/>
      <c r="P933" s="415"/>
      <c r="Q933" s="415"/>
    </row>
    <row r="934" spans="14:17" ht="12.75">
      <c r="N934" s="415"/>
      <c r="O934" s="415"/>
      <c r="P934" s="415"/>
      <c r="Q934" s="415"/>
    </row>
    <row r="935" spans="14:17" ht="12.75">
      <c r="N935" s="415"/>
      <c r="O935" s="415"/>
      <c r="P935" s="415"/>
      <c r="Q935" s="415"/>
    </row>
    <row r="936" spans="14:17" ht="12.75">
      <c r="N936" s="415"/>
      <c r="O936" s="415"/>
      <c r="P936" s="415"/>
      <c r="Q936" s="415"/>
    </row>
    <row r="937" spans="14:17" ht="12.75">
      <c r="N937" s="415"/>
      <c r="O937" s="415"/>
      <c r="P937" s="415"/>
      <c r="Q937" s="415"/>
    </row>
    <row r="938" spans="14:17" ht="12.75">
      <c r="N938" s="415"/>
      <c r="O938" s="415"/>
      <c r="P938" s="415"/>
      <c r="Q938" s="415"/>
    </row>
    <row r="939" spans="14:17" ht="12.75">
      <c r="N939" s="415"/>
      <c r="O939" s="415"/>
      <c r="P939" s="415"/>
      <c r="Q939" s="415"/>
    </row>
    <row r="940" spans="14:17" ht="12.75">
      <c r="N940" s="415"/>
      <c r="O940" s="415"/>
      <c r="P940" s="415"/>
      <c r="Q940" s="415"/>
    </row>
    <row r="941" spans="14:17" ht="12.75">
      <c r="N941" s="415"/>
      <c r="O941" s="415"/>
      <c r="P941" s="415"/>
      <c r="Q941" s="415"/>
    </row>
    <row r="942" spans="14:17" ht="12.75">
      <c r="N942" s="415"/>
      <c r="O942" s="415"/>
      <c r="P942" s="415"/>
      <c r="Q942" s="415"/>
    </row>
    <row r="943" spans="14:17" ht="12.75">
      <c r="N943" s="415"/>
      <c r="O943" s="415"/>
      <c r="P943" s="415"/>
      <c r="Q943" s="415"/>
    </row>
    <row r="944" spans="14:17" ht="12.75">
      <c r="N944" s="415"/>
      <c r="O944" s="415"/>
      <c r="P944" s="415"/>
      <c r="Q944" s="415"/>
    </row>
    <row r="945" spans="14:17" ht="12.75">
      <c r="N945" s="415"/>
      <c r="O945" s="415"/>
      <c r="P945" s="415"/>
      <c r="Q945" s="415"/>
    </row>
    <row r="946" spans="14:17" ht="12.75">
      <c r="N946" s="415"/>
      <c r="O946" s="415"/>
      <c r="P946" s="415"/>
      <c r="Q946" s="415"/>
    </row>
    <row r="947" spans="14:17" ht="12.75">
      <c r="N947" s="415"/>
      <c r="O947" s="415"/>
      <c r="P947" s="415"/>
      <c r="Q947" s="415"/>
    </row>
    <row r="948" spans="14:17" ht="12.75">
      <c r="N948" s="415"/>
      <c r="O948" s="415"/>
      <c r="P948" s="415"/>
      <c r="Q948" s="415"/>
    </row>
    <row r="949" spans="14:17" ht="12.75">
      <c r="N949" s="415"/>
      <c r="O949" s="415"/>
      <c r="P949" s="415"/>
      <c r="Q949" s="415"/>
    </row>
    <row r="950" spans="14:17" ht="12.75">
      <c r="N950" s="415"/>
      <c r="O950" s="415"/>
      <c r="P950" s="415"/>
      <c r="Q950" s="415"/>
    </row>
    <row r="951" spans="14:17" ht="12.75">
      <c r="N951" s="415"/>
      <c r="O951" s="415"/>
      <c r="P951" s="415"/>
      <c r="Q951" s="415"/>
    </row>
    <row r="952" spans="14:17" ht="12.75">
      <c r="N952" s="415"/>
      <c r="O952" s="415"/>
      <c r="P952" s="415"/>
      <c r="Q952" s="415"/>
    </row>
    <row r="953" spans="14:17" ht="12.75">
      <c r="N953" s="415"/>
      <c r="O953" s="415"/>
      <c r="P953" s="415"/>
      <c r="Q953" s="415"/>
    </row>
    <row r="954" spans="14:17" ht="12.75">
      <c r="N954" s="415"/>
      <c r="O954" s="415"/>
      <c r="P954" s="415"/>
      <c r="Q954" s="415"/>
    </row>
    <row r="955" spans="14:17" ht="12.75">
      <c r="N955" s="415"/>
      <c r="O955" s="415"/>
      <c r="P955" s="415"/>
      <c r="Q955" s="415"/>
    </row>
    <row r="956" spans="14:17" ht="12.75">
      <c r="N956" s="415"/>
      <c r="O956" s="415"/>
      <c r="P956" s="415"/>
      <c r="Q956" s="415"/>
    </row>
    <row r="957" spans="14:17" ht="12.75">
      <c r="N957" s="415"/>
      <c r="O957" s="415"/>
      <c r="P957" s="415"/>
      <c r="Q957" s="415"/>
    </row>
    <row r="958" spans="14:17" ht="12.75">
      <c r="N958" s="415"/>
      <c r="O958" s="415"/>
      <c r="P958" s="415"/>
      <c r="Q958" s="415"/>
    </row>
    <row r="959" spans="14:17" ht="12.75">
      <c r="N959" s="415"/>
      <c r="O959" s="415"/>
      <c r="P959" s="415"/>
      <c r="Q959" s="415"/>
    </row>
    <row r="960" spans="14:17" ht="12.75">
      <c r="N960" s="415"/>
      <c r="O960" s="415"/>
      <c r="P960" s="415"/>
      <c r="Q960" s="415"/>
    </row>
    <row r="961" spans="14:17" ht="12.75">
      <c r="N961" s="415"/>
      <c r="O961" s="415"/>
      <c r="P961" s="415"/>
      <c r="Q961" s="415"/>
    </row>
    <row r="962" spans="14:17" ht="12.75">
      <c r="N962" s="415"/>
      <c r="O962" s="415"/>
      <c r="P962" s="415"/>
      <c r="Q962" s="415"/>
    </row>
    <row r="963" spans="14:17" ht="12.75">
      <c r="N963" s="415"/>
      <c r="O963" s="415"/>
      <c r="P963" s="415"/>
      <c r="Q963" s="415"/>
    </row>
    <row r="964" spans="14:17" ht="12.75">
      <c r="N964" s="415"/>
      <c r="O964" s="415"/>
      <c r="P964" s="415"/>
      <c r="Q964" s="415"/>
    </row>
    <row r="965" spans="14:17" ht="12.75">
      <c r="N965" s="415"/>
      <c r="O965" s="415"/>
      <c r="P965" s="415"/>
      <c r="Q965" s="415"/>
    </row>
    <row r="966" spans="14:17" ht="12.75">
      <c r="N966" s="415"/>
      <c r="O966" s="415"/>
      <c r="P966" s="415"/>
      <c r="Q966" s="415"/>
    </row>
    <row r="967" spans="14:17" ht="12.75">
      <c r="N967" s="415"/>
      <c r="O967" s="415"/>
      <c r="P967" s="415"/>
      <c r="Q967" s="415"/>
    </row>
    <row r="968" spans="14:17" ht="12.75">
      <c r="N968" s="415"/>
      <c r="O968" s="415"/>
      <c r="P968" s="415"/>
      <c r="Q968" s="415"/>
    </row>
    <row r="969" spans="14:17" ht="12.75">
      <c r="N969" s="415"/>
      <c r="O969" s="415"/>
      <c r="P969" s="415"/>
      <c r="Q969" s="415"/>
    </row>
    <row r="970" spans="14:17" ht="12.75">
      <c r="N970" s="415"/>
      <c r="O970" s="415"/>
      <c r="P970" s="415"/>
      <c r="Q970" s="415"/>
    </row>
    <row r="971" spans="14:17" ht="12.75">
      <c r="N971" s="415"/>
      <c r="O971" s="415"/>
      <c r="P971" s="415"/>
      <c r="Q971" s="415"/>
    </row>
    <row r="972" spans="14:17" ht="12.75">
      <c r="N972" s="415"/>
      <c r="O972" s="415"/>
      <c r="P972" s="415"/>
      <c r="Q972" s="415"/>
    </row>
    <row r="973" spans="14:17" ht="12.75">
      <c r="N973" s="415"/>
      <c r="O973" s="415"/>
      <c r="P973" s="415"/>
      <c r="Q973" s="415"/>
    </row>
    <row r="974" spans="14:17" ht="12.75">
      <c r="N974" s="415"/>
      <c r="O974" s="415"/>
      <c r="P974" s="415"/>
      <c r="Q974" s="415"/>
    </row>
    <row r="975" spans="14:17" ht="12.75">
      <c r="N975" s="415"/>
      <c r="O975" s="415"/>
      <c r="P975" s="415"/>
      <c r="Q975" s="415"/>
    </row>
    <row r="976" spans="14:17" ht="12.75">
      <c r="N976" s="415"/>
      <c r="O976" s="415"/>
      <c r="P976" s="415"/>
      <c r="Q976" s="415"/>
    </row>
    <row r="977" spans="14:17" ht="12.75">
      <c r="N977" s="415"/>
      <c r="O977" s="415"/>
      <c r="P977" s="415"/>
      <c r="Q977" s="415"/>
    </row>
    <row r="978" spans="14:17" ht="12.75">
      <c r="N978" s="415"/>
      <c r="O978" s="415"/>
      <c r="P978" s="415"/>
      <c r="Q978" s="415"/>
    </row>
    <row r="979" spans="14:17" ht="12.75">
      <c r="N979" s="415"/>
      <c r="O979" s="415"/>
      <c r="P979" s="415"/>
      <c r="Q979" s="415"/>
    </row>
    <row r="980" spans="14:17" ht="12.75">
      <c r="N980" s="415"/>
      <c r="O980" s="415"/>
      <c r="P980" s="415"/>
      <c r="Q980" s="415"/>
    </row>
    <row r="981" spans="14:17" ht="12.75">
      <c r="N981" s="415"/>
      <c r="O981" s="415"/>
      <c r="P981" s="415"/>
      <c r="Q981" s="415"/>
    </row>
    <row r="982" spans="14:17" ht="12.75">
      <c r="N982" s="415"/>
      <c r="O982" s="415"/>
      <c r="P982" s="415"/>
      <c r="Q982" s="415"/>
    </row>
    <row r="983" spans="14:17" ht="12.75">
      <c r="N983" s="415"/>
      <c r="O983" s="415"/>
      <c r="P983" s="415"/>
      <c r="Q983" s="415"/>
    </row>
    <row r="984" spans="14:17" ht="12.75">
      <c r="N984" s="415"/>
      <c r="O984" s="415"/>
      <c r="P984" s="415"/>
      <c r="Q984" s="415"/>
    </row>
    <row r="985" spans="14:17" ht="12.75">
      <c r="N985" s="415"/>
      <c r="O985" s="415"/>
      <c r="P985" s="415"/>
      <c r="Q985" s="415"/>
    </row>
    <row r="986" spans="14:17" ht="12.75">
      <c r="N986" s="415"/>
      <c r="O986" s="415"/>
      <c r="P986" s="415"/>
      <c r="Q986" s="415"/>
    </row>
    <row r="987" spans="14:17" ht="12.75">
      <c r="N987" s="415"/>
      <c r="O987" s="415"/>
      <c r="P987" s="415"/>
      <c r="Q987" s="415"/>
    </row>
    <row r="988" spans="14:17" ht="12.75">
      <c r="N988" s="415"/>
      <c r="O988" s="415"/>
      <c r="P988" s="415"/>
      <c r="Q988" s="415"/>
    </row>
    <row r="989" spans="14:17" ht="12.75">
      <c r="N989" s="415"/>
      <c r="O989" s="415"/>
      <c r="P989" s="415"/>
      <c r="Q989" s="415"/>
    </row>
    <row r="990" spans="14:17" ht="12.75">
      <c r="N990" s="415"/>
      <c r="O990" s="415"/>
      <c r="P990" s="415"/>
      <c r="Q990" s="415"/>
    </row>
    <row r="991" spans="14:17" ht="12.75">
      <c r="N991" s="415"/>
      <c r="O991" s="415"/>
      <c r="P991" s="415"/>
      <c r="Q991" s="415"/>
    </row>
    <row r="992" spans="14:17" ht="12.75">
      <c r="N992" s="415"/>
      <c r="O992" s="415"/>
      <c r="P992" s="415"/>
      <c r="Q992" s="415"/>
    </row>
    <row r="993" spans="14:17" ht="12.75">
      <c r="N993" s="415"/>
      <c r="O993" s="415"/>
      <c r="P993" s="415"/>
      <c r="Q993" s="415"/>
    </row>
    <row r="994" spans="14:17" ht="12.75">
      <c r="N994" s="415"/>
      <c r="O994" s="415"/>
      <c r="P994" s="415"/>
      <c r="Q994" s="415"/>
    </row>
    <row r="995" spans="14:17" ht="12.75">
      <c r="N995" s="415"/>
      <c r="O995" s="415"/>
      <c r="P995" s="415"/>
      <c r="Q995" s="415"/>
    </row>
    <row r="996" spans="14:17" ht="12.75">
      <c r="N996" s="415"/>
      <c r="O996" s="415"/>
      <c r="P996" s="415"/>
      <c r="Q996" s="415"/>
    </row>
    <row r="997" spans="14:17" ht="12.75">
      <c r="N997" s="415"/>
      <c r="O997" s="415"/>
      <c r="P997" s="415"/>
      <c r="Q997" s="415"/>
    </row>
    <row r="998" spans="14:17" ht="12.75">
      <c r="N998" s="415"/>
      <c r="O998" s="415"/>
      <c r="P998" s="415"/>
      <c r="Q998" s="415"/>
    </row>
    <row r="999" spans="14:17" ht="12.75">
      <c r="N999" s="415"/>
      <c r="O999" s="415"/>
      <c r="P999" s="415"/>
      <c r="Q999" s="415"/>
    </row>
    <row r="1000" spans="14:17" ht="12.75">
      <c r="N1000" s="415"/>
      <c r="O1000" s="415"/>
      <c r="P1000" s="415"/>
      <c r="Q1000" s="415"/>
    </row>
    <row r="1001" spans="14:17" ht="12.75">
      <c r="N1001" s="415"/>
      <c r="O1001" s="415"/>
      <c r="P1001" s="415"/>
      <c r="Q1001" s="415"/>
    </row>
    <row r="1002" spans="14:17" ht="12.75">
      <c r="N1002" s="415"/>
      <c r="O1002" s="415"/>
      <c r="P1002" s="415"/>
      <c r="Q1002" s="415"/>
    </row>
    <row r="1003" spans="14:17" ht="12.75">
      <c r="N1003" s="415"/>
      <c r="O1003" s="415"/>
      <c r="P1003" s="415"/>
      <c r="Q1003" s="415"/>
    </row>
    <row r="1004" spans="14:17" ht="12.75">
      <c r="N1004" s="415"/>
      <c r="O1004" s="415"/>
      <c r="P1004" s="415"/>
      <c r="Q1004" s="415"/>
    </row>
    <row r="1005" spans="14:17" ht="12.75">
      <c r="N1005" s="415"/>
      <c r="O1005" s="415"/>
      <c r="P1005" s="415"/>
      <c r="Q1005" s="415"/>
    </row>
    <row r="1006" spans="14:17" ht="12.75">
      <c r="N1006" s="415"/>
      <c r="O1006" s="415"/>
      <c r="P1006" s="415"/>
      <c r="Q1006" s="415"/>
    </row>
    <row r="1007" spans="14:17" ht="12.75">
      <c r="N1007" s="415"/>
      <c r="O1007" s="415"/>
      <c r="P1007" s="415"/>
      <c r="Q1007" s="415"/>
    </row>
    <row r="1008" spans="14:17" ht="12.75">
      <c r="N1008" s="415"/>
      <c r="O1008" s="415"/>
      <c r="P1008" s="415"/>
      <c r="Q1008" s="415"/>
    </row>
    <row r="1009" spans="14:17" ht="12.75">
      <c r="N1009" s="415"/>
      <c r="O1009" s="415"/>
      <c r="P1009" s="415"/>
      <c r="Q1009" s="415"/>
    </row>
    <row r="1010" spans="14:17" ht="12.75">
      <c r="N1010" s="415"/>
      <c r="O1010" s="415"/>
      <c r="P1010" s="415"/>
      <c r="Q1010" s="415"/>
    </row>
    <row r="1011" spans="14:17" ht="12.75">
      <c r="N1011" s="415"/>
      <c r="O1011" s="415"/>
      <c r="P1011" s="415"/>
      <c r="Q1011" s="415"/>
    </row>
    <row r="1012" spans="14:17" ht="12.75">
      <c r="N1012" s="415"/>
      <c r="O1012" s="415"/>
      <c r="P1012" s="415"/>
      <c r="Q1012" s="415"/>
    </row>
    <row r="1013" spans="14:17" ht="12.75">
      <c r="N1013" s="415"/>
      <c r="O1013" s="415"/>
      <c r="P1013" s="415"/>
      <c r="Q1013" s="415"/>
    </row>
    <row r="1014" spans="14:17" ht="12.75">
      <c r="N1014" s="415"/>
      <c r="O1014" s="415"/>
      <c r="P1014" s="415"/>
      <c r="Q1014" s="415"/>
    </row>
    <row r="1015" spans="14:17" ht="12.75">
      <c r="N1015" s="415"/>
      <c r="O1015" s="415"/>
      <c r="P1015" s="415"/>
      <c r="Q1015" s="415"/>
    </row>
    <row r="1016" spans="14:17" ht="12.75">
      <c r="N1016" s="415"/>
      <c r="O1016" s="415"/>
      <c r="P1016" s="415"/>
      <c r="Q1016" s="415"/>
    </row>
    <row r="1017" spans="14:17" ht="12.75">
      <c r="N1017" s="415"/>
      <c r="O1017" s="415"/>
      <c r="P1017" s="415"/>
      <c r="Q1017" s="415"/>
    </row>
    <row r="1018" spans="14:17" ht="12.75">
      <c r="N1018" s="415"/>
      <c r="O1018" s="415"/>
      <c r="P1018" s="415"/>
      <c r="Q1018" s="415"/>
    </row>
    <row r="1019" spans="14:17" ht="12.75">
      <c r="N1019" s="415"/>
      <c r="O1019" s="415"/>
      <c r="P1019" s="415"/>
      <c r="Q1019" s="415"/>
    </row>
    <row r="1020" spans="14:17" ht="12.75">
      <c r="N1020" s="415"/>
      <c r="O1020" s="415"/>
      <c r="P1020" s="415"/>
      <c r="Q1020" s="415"/>
    </row>
    <row r="1021" spans="14:17" ht="12.75">
      <c r="N1021" s="415"/>
      <c r="O1021" s="415"/>
      <c r="P1021" s="415"/>
      <c r="Q1021" s="415"/>
    </row>
    <row r="1022" spans="14:17" ht="12.75">
      <c r="N1022" s="415"/>
      <c r="O1022" s="415"/>
      <c r="P1022" s="415"/>
      <c r="Q1022" s="415"/>
    </row>
    <row r="1023" spans="14:17" ht="12.75">
      <c r="N1023" s="415"/>
      <c r="O1023" s="415"/>
      <c r="P1023" s="415"/>
      <c r="Q1023" s="415"/>
    </row>
    <row r="1024" spans="14:17" ht="12.75">
      <c r="N1024" s="415"/>
      <c r="O1024" s="415"/>
      <c r="P1024" s="415"/>
      <c r="Q1024" s="415"/>
    </row>
    <row r="1025" spans="14:17" ht="12.75">
      <c r="N1025" s="415"/>
      <c r="O1025" s="415"/>
      <c r="P1025" s="415"/>
      <c r="Q1025" s="415"/>
    </row>
    <row r="1026" spans="14:17" ht="12.75">
      <c r="N1026" s="415"/>
      <c r="O1026" s="415"/>
      <c r="P1026" s="415"/>
      <c r="Q1026" s="415"/>
    </row>
    <row r="1027" spans="14:17" ht="12.75">
      <c r="N1027" s="415"/>
      <c r="O1027" s="415"/>
      <c r="P1027" s="415"/>
      <c r="Q1027" s="415"/>
    </row>
    <row r="1028" spans="14:17" ht="12.75">
      <c r="N1028" s="415"/>
      <c r="O1028" s="415"/>
      <c r="P1028" s="415"/>
      <c r="Q1028" s="415"/>
    </row>
    <row r="1029" spans="14:17" ht="12.75">
      <c r="N1029" s="415"/>
      <c r="O1029" s="415"/>
      <c r="P1029" s="415"/>
      <c r="Q1029" s="415"/>
    </row>
    <row r="1030" spans="14:17" ht="12.75">
      <c r="N1030" s="415"/>
      <c r="O1030" s="415"/>
      <c r="P1030" s="415"/>
      <c r="Q1030" s="415"/>
    </row>
    <row r="1031" spans="14:17" ht="12.75">
      <c r="N1031" s="415"/>
      <c r="O1031" s="415"/>
      <c r="P1031" s="415"/>
      <c r="Q1031" s="415"/>
    </row>
    <row r="1032" spans="14:17" ht="12.75">
      <c r="N1032" s="415"/>
      <c r="O1032" s="415"/>
      <c r="P1032" s="415"/>
      <c r="Q1032" s="415"/>
    </row>
    <row r="1033" spans="14:17" ht="12.75">
      <c r="N1033" s="415"/>
      <c r="O1033" s="415"/>
      <c r="P1033" s="415"/>
      <c r="Q1033" s="415"/>
    </row>
    <row r="1034" spans="14:17" ht="12.75">
      <c r="N1034" s="415"/>
      <c r="O1034" s="415"/>
      <c r="P1034" s="415"/>
      <c r="Q1034" s="415"/>
    </row>
    <row r="1035" spans="14:17" ht="12.75">
      <c r="N1035" s="415"/>
      <c r="O1035" s="415"/>
      <c r="P1035" s="415"/>
      <c r="Q1035" s="415"/>
    </row>
    <row r="1036" spans="14:17" ht="12.75">
      <c r="N1036" s="415"/>
      <c r="O1036" s="415"/>
      <c r="P1036" s="415"/>
      <c r="Q1036" s="415"/>
    </row>
    <row r="1037" spans="14:17" ht="12.75">
      <c r="N1037" s="415"/>
      <c r="O1037" s="415"/>
      <c r="P1037" s="415"/>
      <c r="Q1037" s="415"/>
    </row>
    <row r="1038" spans="14:17" ht="12.75">
      <c r="N1038" s="415"/>
      <c r="O1038" s="415"/>
      <c r="P1038" s="415"/>
      <c r="Q1038" s="415"/>
    </row>
    <row r="1039" spans="14:17" ht="12.75">
      <c r="N1039" s="415"/>
      <c r="O1039" s="415"/>
      <c r="P1039" s="415"/>
      <c r="Q1039" s="415"/>
    </row>
    <row r="1040" spans="14:17" ht="12.75">
      <c r="N1040" s="415"/>
      <c r="O1040" s="415"/>
      <c r="P1040" s="415"/>
      <c r="Q1040" s="415"/>
    </row>
    <row r="1041" spans="14:17" ht="12.75">
      <c r="N1041" s="415"/>
      <c r="O1041" s="415"/>
      <c r="P1041" s="415"/>
      <c r="Q1041" s="415"/>
    </row>
    <row r="1042" spans="14:17" ht="12.75">
      <c r="N1042" s="415"/>
      <c r="O1042" s="415"/>
      <c r="P1042" s="415"/>
      <c r="Q1042" s="415"/>
    </row>
    <row r="1043" spans="14:17" ht="12.75">
      <c r="N1043" s="415"/>
      <c r="O1043" s="415"/>
      <c r="P1043" s="415"/>
      <c r="Q1043" s="415"/>
    </row>
    <row r="1044" spans="14:17" ht="12.75">
      <c r="N1044" s="415"/>
      <c r="O1044" s="415"/>
      <c r="P1044" s="415"/>
      <c r="Q1044" s="415"/>
    </row>
    <row r="1045" spans="14:17" ht="12.75">
      <c r="N1045" s="415"/>
      <c r="O1045" s="415"/>
      <c r="P1045" s="415"/>
      <c r="Q1045" s="415"/>
    </row>
    <row r="1046" spans="14:17" ht="12.75">
      <c r="N1046" s="415"/>
      <c r="O1046" s="415"/>
      <c r="P1046" s="415"/>
      <c r="Q1046" s="415"/>
    </row>
    <row r="1047" spans="14:17" ht="12.75">
      <c r="N1047" s="415"/>
      <c r="O1047" s="415"/>
      <c r="P1047" s="415"/>
      <c r="Q1047" s="415"/>
    </row>
    <row r="1048" spans="14:17" ht="12.75">
      <c r="N1048" s="415"/>
      <c r="O1048" s="415"/>
      <c r="P1048" s="415"/>
      <c r="Q1048" s="415"/>
    </row>
    <row r="1049" spans="14:17" ht="12.75">
      <c r="N1049" s="415"/>
      <c r="O1049" s="415"/>
      <c r="P1049" s="415"/>
      <c r="Q1049" s="415"/>
    </row>
    <row r="1050" spans="14:17" ht="12.75">
      <c r="N1050" s="415"/>
      <c r="O1050" s="415"/>
      <c r="P1050" s="415"/>
      <c r="Q1050" s="415"/>
    </row>
    <row r="1051" spans="14:17" ht="12.75">
      <c r="N1051" s="415"/>
      <c r="O1051" s="415"/>
      <c r="P1051" s="415"/>
      <c r="Q1051" s="415"/>
    </row>
    <row r="1052" spans="14:17" ht="12.75">
      <c r="N1052" s="415"/>
      <c r="O1052" s="415"/>
      <c r="P1052" s="415"/>
      <c r="Q1052" s="415"/>
    </row>
    <row r="1053" spans="14:17" ht="12.75">
      <c r="N1053" s="415"/>
      <c r="O1053" s="415"/>
      <c r="P1053" s="415"/>
      <c r="Q1053" s="415"/>
    </row>
    <row r="1054" spans="14:17" ht="12.75">
      <c r="N1054" s="415"/>
      <c r="O1054" s="415"/>
      <c r="P1054" s="415"/>
      <c r="Q1054" s="415"/>
    </row>
    <row r="1055" spans="14:17" ht="12.75">
      <c r="N1055" s="415"/>
      <c r="O1055" s="415"/>
      <c r="P1055" s="415"/>
      <c r="Q1055" s="415"/>
    </row>
    <row r="1056" spans="14:17" ht="12.75">
      <c r="N1056" s="415"/>
      <c r="O1056" s="415"/>
      <c r="P1056" s="415"/>
      <c r="Q1056" s="415"/>
    </row>
    <row r="1057" spans="14:17" ht="12.75">
      <c r="N1057" s="415"/>
      <c r="O1057" s="415"/>
      <c r="P1057" s="415"/>
      <c r="Q1057" s="415"/>
    </row>
    <row r="1058" spans="14:17" ht="12.75">
      <c r="N1058" s="415"/>
      <c r="O1058" s="415"/>
      <c r="P1058" s="415"/>
      <c r="Q1058" s="415"/>
    </row>
    <row r="1059" spans="14:17" ht="12.75">
      <c r="N1059" s="415"/>
      <c r="O1059" s="415"/>
      <c r="P1059" s="415"/>
      <c r="Q1059" s="415"/>
    </row>
    <row r="1060" spans="14:17" ht="12.75">
      <c r="N1060" s="415"/>
      <c r="O1060" s="415"/>
      <c r="P1060" s="415"/>
      <c r="Q1060" s="415"/>
    </row>
    <row r="1061" spans="14:17" ht="12.75">
      <c r="N1061" s="415"/>
      <c r="O1061" s="415"/>
      <c r="P1061" s="415"/>
      <c r="Q1061" s="415"/>
    </row>
    <row r="1062" spans="14:17" ht="12.75">
      <c r="N1062" s="415"/>
      <c r="O1062" s="415"/>
      <c r="P1062" s="415"/>
      <c r="Q1062" s="415"/>
    </row>
    <row r="1063" spans="14:17" ht="12.75">
      <c r="N1063" s="415"/>
      <c r="O1063" s="415"/>
      <c r="P1063" s="415"/>
      <c r="Q1063" s="415"/>
    </row>
    <row r="1064" spans="14:17" ht="12.75">
      <c r="N1064" s="415"/>
      <c r="O1064" s="415"/>
      <c r="P1064" s="415"/>
      <c r="Q1064" s="415"/>
    </row>
    <row r="1065" spans="14:17" ht="12.75">
      <c r="N1065" s="415"/>
      <c r="O1065" s="415"/>
      <c r="P1065" s="415"/>
      <c r="Q1065" s="415"/>
    </row>
    <row r="1066" spans="14:17" ht="12.75">
      <c r="N1066" s="415"/>
      <c r="O1066" s="415"/>
      <c r="P1066" s="415"/>
      <c r="Q1066" s="415"/>
    </row>
    <row r="1067" spans="14:17" ht="12.75">
      <c r="N1067" s="415"/>
      <c r="O1067" s="415"/>
      <c r="P1067" s="415"/>
      <c r="Q1067" s="415"/>
    </row>
    <row r="1068" spans="14:17" ht="12.75">
      <c r="N1068" s="415"/>
      <c r="O1068" s="415"/>
      <c r="P1068" s="415"/>
      <c r="Q1068" s="415"/>
    </row>
    <row r="1069" spans="14:17" ht="12.75">
      <c r="N1069" s="415"/>
      <c r="O1069" s="415"/>
      <c r="P1069" s="415"/>
      <c r="Q1069" s="415"/>
    </row>
    <row r="1070" spans="14:17" ht="12.75">
      <c r="N1070" s="415"/>
      <c r="O1070" s="415"/>
      <c r="P1070" s="415"/>
      <c r="Q1070" s="415"/>
    </row>
    <row r="1071" spans="14:17" ht="12.75">
      <c r="N1071" s="415"/>
      <c r="O1071" s="415"/>
      <c r="P1071" s="415"/>
      <c r="Q1071" s="415"/>
    </row>
    <row r="1072" spans="14:17" ht="12.75">
      <c r="N1072" s="415"/>
      <c r="O1072" s="415"/>
      <c r="P1072" s="415"/>
      <c r="Q1072" s="415"/>
    </row>
    <row r="1073" spans="14:17" ht="12.75">
      <c r="N1073" s="415"/>
      <c r="O1073" s="415"/>
      <c r="P1073" s="415"/>
      <c r="Q1073" s="415"/>
    </row>
    <row r="1074" spans="14:17" ht="12.75">
      <c r="N1074" s="415"/>
      <c r="O1074" s="415"/>
      <c r="P1074" s="415"/>
      <c r="Q1074" s="415"/>
    </row>
    <row r="1075" spans="14:17" ht="12.75">
      <c r="N1075" s="415"/>
      <c r="O1075" s="415"/>
      <c r="P1075" s="415"/>
      <c r="Q1075" s="415"/>
    </row>
    <row r="1076" spans="14:17" ht="12.75">
      <c r="N1076" s="415"/>
      <c r="O1076" s="415"/>
      <c r="P1076" s="415"/>
      <c r="Q1076" s="415"/>
    </row>
    <row r="1077" spans="14:17" ht="12.75">
      <c r="N1077" s="415"/>
      <c r="O1077" s="415"/>
      <c r="P1077" s="415"/>
      <c r="Q1077" s="415"/>
    </row>
    <row r="1078" spans="14:17" ht="12.75">
      <c r="N1078" s="415"/>
      <c r="O1078" s="415"/>
      <c r="P1078" s="415"/>
      <c r="Q1078" s="415"/>
    </row>
    <row r="1079" spans="14:17" ht="12.75">
      <c r="N1079" s="415"/>
      <c r="O1079" s="415"/>
      <c r="P1079" s="415"/>
      <c r="Q1079" s="415"/>
    </row>
    <row r="1080" spans="14:17" ht="12.75">
      <c r="N1080" s="415"/>
      <c r="O1080" s="415"/>
      <c r="P1080" s="415"/>
      <c r="Q1080" s="415"/>
    </row>
    <row r="1081" spans="14:17" ht="12.75">
      <c r="N1081" s="415"/>
      <c r="O1081" s="415"/>
      <c r="P1081" s="415"/>
      <c r="Q1081" s="415"/>
    </row>
    <row r="1082" spans="14:17" ht="12.75">
      <c r="N1082" s="415"/>
      <c r="O1082" s="415"/>
      <c r="P1082" s="415"/>
      <c r="Q1082" s="415"/>
    </row>
    <row r="1083" spans="14:17" ht="12.75">
      <c r="N1083" s="415"/>
      <c r="O1083" s="415"/>
      <c r="P1083" s="415"/>
      <c r="Q1083" s="415"/>
    </row>
    <row r="1084" spans="14:17" ht="12.75">
      <c r="N1084" s="415"/>
      <c r="O1084" s="415"/>
      <c r="P1084" s="415"/>
      <c r="Q1084" s="415"/>
    </row>
    <row r="1085" spans="14:17" ht="12.75">
      <c r="N1085" s="415"/>
      <c r="O1085" s="415"/>
      <c r="P1085" s="415"/>
      <c r="Q1085" s="415"/>
    </row>
    <row r="1086" spans="14:17" ht="12.75">
      <c r="N1086" s="415"/>
      <c r="O1086" s="415"/>
      <c r="P1086" s="415"/>
      <c r="Q1086" s="415"/>
    </row>
    <row r="1087" spans="14:17" ht="12.75">
      <c r="N1087" s="415"/>
      <c r="O1087" s="415"/>
      <c r="P1087" s="415"/>
      <c r="Q1087" s="415"/>
    </row>
    <row r="1088" spans="14:17" ht="12.75">
      <c r="N1088" s="415"/>
      <c r="O1088" s="415"/>
      <c r="P1088" s="415"/>
      <c r="Q1088" s="415"/>
    </row>
    <row r="1089" spans="14:17" ht="12.75">
      <c r="N1089" s="415"/>
      <c r="O1089" s="415"/>
      <c r="P1089" s="415"/>
      <c r="Q1089" s="415"/>
    </row>
    <row r="1090" spans="14:17" ht="12.75">
      <c r="N1090" s="415"/>
      <c r="O1090" s="415"/>
      <c r="P1090" s="415"/>
      <c r="Q1090" s="415"/>
    </row>
    <row r="1091" spans="14:17" ht="12.75">
      <c r="N1091" s="415"/>
      <c r="O1091" s="415"/>
      <c r="P1091" s="415"/>
      <c r="Q1091" s="415"/>
    </row>
    <row r="1092" spans="14:17" ht="12.75">
      <c r="N1092" s="415"/>
      <c r="O1092" s="415"/>
      <c r="P1092" s="415"/>
      <c r="Q1092" s="415"/>
    </row>
    <row r="1093" spans="14:17" ht="12.75">
      <c r="N1093" s="415"/>
      <c r="O1093" s="415"/>
      <c r="P1093" s="415"/>
      <c r="Q1093" s="415"/>
    </row>
    <row r="1094" spans="14:17" ht="12.75">
      <c r="N1094" s="415"/>
      <c r="O1094" s="415"/>
      <c r="P1094" s="415"/>
      <c r="Q1094" s="415"/>
    </row>
    <row r="1095" spans="14:17" ht="12.75">
      <c r="N1095" s="415"/>
      <c r="O1095" s="415"/>
      <c r="P1095" s="415"/>
      <c r="Q1095" s="415"/>
    </row>
    <row r="1096" spans="14:17" ht="12.75">
      <c r="N1096" s="415"/>
      <c r="O1096" s="415"/>
      <c r="P1096" s="415"/>
      <c r="Q1096" s="415"/>
    </row>
    <row r="1097" spans="14:17" ht="12.75">
      <c r="N1097" s="415"/>
      <c r="O1097" s="415"/>
      <c r="P1097" s="415"/>
      <c r="Q1097" s="415"/>
    </row>
    <row r="1098" spans="14:17" ht="12.75">
      <c r="N1098" s="415"/>
      <c r="O1098" s="415"/>
      <c r="P1098" s="415"/>
      <c r="Q1098" s="415"/>
    </row>
    <row r="1099" spans="14:17" ht="12.75">
      <c r="N1099" s="415"/>
      <c r="O1099" s="415"/>
      <c r="P1099" s="415"/>
      <c r="Q1099" s="415"/>
    </row>
    <row r="1100" spans="14:17" ht="12.75">
      <c r="N1100" s="415"/>
      <c r="O1100" s="415"/>
      <c r="P1100" s="415"/>
      <c r="Q1100" s="415"/>
    </row>
    <row r="1101" spans="14:17" ht="12.75">
      <c r="N1101" s="415"/>
      <c r="O1101" s="415"/>
      <c r="P1101" s="415"/>
      <c r="Q1101" s="415"/>
    </row>
    <row r="1102" spans="14:17" ht="12.75">
      <c r="N1102" s="415"/>
      <c r="O1102" s="415"/>
      <c r="P1102" s="415"/>
      <c r="Q1102" s="415"/>
    </row>
    <row r="1103" spans="14:17" ht="12.75">
      <c r="N1103" s="415"/>
      <c r="O1103" s="415"/>
      <c r="P1103" s="415"/>
      <c r="Q1103" s="415"/>
    </row>
    <row r="1104" spans="14:17" ht="12.75">
      <c r="N1104" s="415"/>
      <c r="O1104" s="415"/>
      <c r="P1104" s="415"/>
      <c r="Q1104" s="415"/>
    </row>
    <row r="1105" spans="14:17" ht="12.75">
      <c r="N1105" s="415"/>
      <c r="O1105" s="415"/>
      <c r="P1105" s="415"/>
      <c r="Q1105" s="415"/>
    </row>
    <row r="1106" spans="14:17" ht="12.75">
      <c r="N1106" s="415"/>
      <c r="O1106" s="415"/>
      <c r="P1106" s="415"/>
      <c r="Q1106" s="415"/>
    </row>
    <row r="1107" spans="14:17" ht="12.75">
      <c r="N1107" s="415"/>
      <c r="O1107" s="415"/>
      <c r="P1107" s="415"/>
      <c r="Q1107" s="415"/>
    </row>
    <row r="1108" spans="14:17" ht="12.75">
      <c r="N1108" s="415"/>
      <c r="O1108" s="415"/>
      <c r="P1108" s="415"/>
      <c r="Q1108" s="415"/>
    </row>
    <row r="1109" spans="14:17" ht="12.75">
      <c r="N1109" s="415"/>
      <c r="O1109" s="415"/>
      <c r="P1109" s="415"/>
      <c r="Q1109" s="415"/>
    </row>
    <row r="1110" spans="14:17" ht="12.75">
      <c r="N1110" s="415"/>
      <c r="O1110" s="415"/>
      <c r="P1110" s="415"/>
      <c r="Q1110" s="415"/>
    </row>
    <row r="1111" spans="14:17" ht="12.75">
      <c r="N1111" s="415"/>
      <c r="O1111" s="415"/>
      <c r="P1111" s="415"/>
      <c r="Q1111" s="415"/>
    </row>
    <row r="1112" spans="14:17" ht="12.75">
      <c r="N1112" s="415"/>
      <c r="O1112" s="415"/>
      <c r="P1112" s="415"/>
      <c r="Q1112" s="415"/>
    </row>
    <row r="1113" spans="14:17" ht="12.75">
      <c r="N1113" s="415"/>
      <c r="O1113" s="415"/>
      <c r="P1113" s="415"/>
      <c r="Q1113" s="415"/>
    </row>
    <row r="1114" spans="14:17" ht="12.75">
      <c r="N1114" s="415"/>
      <c r="O1114" s="415"/>
      <c r="P1114" s="415"/>
      <c r="Q1114" s="415"/>
    </row>
    <row r="1115" spans="14:17" ht="12.75">
      <c r="N1115" s="415"/>
      <c r="O1115" s="415"/>
      <c r="P1115" s="415"/>
      <c r="Q1115" s="415"/>
    </row>
    <row r="1116" spans="14:17" ht="12.75">
      <c r="N1116" s="415"/>
      <c r="O1116" s="415"/>
      <c r="P1116" s="415"/>
      <c r="Q1116" s="415"/>
    </row>
    <row r="1117" spans="14:17" ht="12.75">
      <c r="N1117" s="415"/>
      <c r="O1117" s="415"/>
      <c r="P1117" s="415"/>
      <c r="Q1117" s="415"/>
    </row>
    <row r="1118" spans="14:17" ht="12.75">
      <c r="N1118" s="415"/>
      <c r="O1118" s="415"/>
      <c r="P1118" s="415"/>
      <c r="Q1118" s="415"/>
    </row>
    <row r="1119" spans="14:17" ht="12.75">
      <c r="N1119" s="415"/>
      <c r="O1119" s="415"/>
      <c r="P1119" s="415"/>
      <c r="Q1119" s="415"/>
    </row>
    <row r="1120" spans="14:17" ht="12.75">
      <c r="N1120" s="415"/>
      <c r="O1120" s="415"/>
      <c r="P1120" s="415"/>
      <c r="Q1120" s="415"/>
    </row>
    <row r="1121" spans="14:17" ht="12.75">
      <c r="N1121" s="415"/>
      <c r="O1121" s="415"/>
      <c r="P1121" s="415"/>
      <c r="Q1121" s="415"/>
    </row>
    <row r="1122" spans="14:17" ht="12.75">
      <c r="N1122" s="415"/>
      <c r="O1122" s="415"/>
      <c r="P1122" s="415"/>
      <c r="Q1122" s="415"/>
    </row>
    <row r="1123" spans="14:17" ht="12.75">
      <c r="N1123" s="415"/>
      <c r="O1123" s="415"/>
      <c r="P1123" s="415"/>
      <c r="Q1123" s="415"/>
    </row>
    <row r="1124" spans="14:17" ht="12.75">
      <c r="N1124" s="415"/>
      <c r="O1124" s="415"/>
      <c r="P1124" s="415"/>
      <c r="Q1124" s="415"/>
    </row>
    <row r="1125" spans="14:17" ht="12.75">
      <c r="N1125" s="415"/>
      <c r="O1125" s="415"/>
      <c r="P1125" s="415"/>
      <c r="Q1125" s="415"/>
    </row>
    <row r="1126" spans="14:17" ht="12.75">
      <c r="N1126" s="415"/>
      <c r="O1126" s="415"/>
      <c r="P1126" s="415"/>
      <c r="Q1126" s="415"/>
    </row>
    <row r="1127" spans="14:17" ht="12.75">
      <c r="N1127" s="415"/>
      <c r="O1127" s="415"/>
      <c r="P1127" s="415"/>
      <c r="Q1127" s="415"/>
    </row>
    <row r="1128" spans="14:17" ht="12.75">
      <c r="N1128" s="415"/>
      <c r="O1128" s="415"/>
      <c r="P1128" s="415"/>
      <c r="Q1128" s="415"/>
    </row>
    <row r="1129" spans="14:17" ht="12.75">
      <c r="N1129" s="415"/>
      <c r="O1129" s="415"/>
      <c r="P1129" s="415"/>
      <c r="Q1129" s="415"/>
    </row>
    <row r="1130" spans="14:17" ht="12.75">
      <c r="N1130" s="415"/>
      <c r="O1130" s="415"/>
      <c r="P1130" s="415"/>
      <c r="Q1130" s="415"/>
    </row>
    <row r="1131" spans="14:17" ht="12.75">
      <c r="N1131" s="415"/>
      <c r="O1131" s="415"/>
      <c r="P1131" s="415"/>
      <c r="Q1131" s="415"/>
    </row>
    <row r="1132" spans="14:17" ht="12.75">
      <c r="N1132" s="415"/>
      <c r="O1132" s="415"/>
      <c r="P1132" s="415"/>
      <c r="Q1132" s="415"/>
    </row>
    <row r="1133" spans="14:17" ht="12.75">
      <c r="N1133" s="415"/>
      <c r="O1133" s="415"/>
      <c r="P1133" s="415"/>
      <c r="Q1133" s="415"/>
    </row>
    <row r="1134" spans="14:17" ht="12.75">
      <c r="N1134" s="415"/>
      <c r="O1134" s="415"/>
      <c r="P1134" s="415"/>
      <c r="Q1134" s="415"/>
    </row>
    <row r="1135" spans="14:17" ht="12.75">
      <c r="N1135" s="415"/>
      <c r="O1135" s="415"/>
      <c r="P1135" s="415"/>
      <c r="Q1135" s="415"/>
    </row>
    <row r="1136" spans="14:17" ht="12.75">
      <c r="N1136" s="415"/>
      <c r="O1136" s="415"/>
      <c r="P1136" s="415"/>
      <c r="Q1136" s="415"/>
    </row>
    <row r="1137" spans="14:17" ht="12.75">
      <c r="N1137" s="415"/>
      <c r="O1137" s="415"/>
      <c r="P1137" s="415"/>
      <c r="Q1137" s="415"/>
    </row>
    <row r="1138" spans="14:17" ht="12.75">
      <c r="N1138" s="415"/>
      <c r="O1138" s="415"/>
      <c r="P1138" s="415"/>
      <c r="Q1138" s="415"/>
    </row>
    <row r="1139" spans="14:17" ht="12.75">
      <c r="N1139" s="415"/>
      <c r="O1139" s="415"/>
      <c r="P1139" s="415"/>
      <c r="Q1139" s="415"/>
    </row>
    <row r="1140" spans="14:17" ht="12.75">
      <c r="N1140" s="415"/>
      <c r="O1140" s="415"/>
      <c r="P1140" s="415"/>
      <c r="Q1140" s="415"/>
    </row>
    <row r="1141" spans="14:17" ht="12.75">
      <c r="N1141" s="415"/>
      <c r="O1141" s="415"/>
      <c r="P1141" s="415"/>
      <c r="Q1141" s="415"/>
    </row>
    <row r="1142" spans="14:17" ht="12.75">
      <c r="N1142" s="415"/>
      <c r="O1142" s="415"/>
      <c r="P1142" s="415"/>
      <c r="Q1142" s="415"/>
    </row>
    <row r="1143" spans="14:17" ht="12.75">
      <c r="N1143" s="415"/>
      <c r="O1143" s="415"/>
      <c r="P1143" s="415"/>
      <c r="Q1143" s="415"/>
    </row>
    <row r="1144" spans="14:17" ht="12.75">
      <c r="N1144" s="415"/>
      <c r="O1144" s="415"/>
      <c r="P1144" s="415"/>
      <c r="Q1144" s="415"/>
    </row>
    <row r="1145" spans="14:17" ht="12.75">
      <c r="N1145" s="415"/>
      <c r="O1145" s="415"/>
      <c r="P1145" s="415"/>
      <c r="Q1145" s="415"/>
    </row>
    <row r="1146" spans="14:17" ht="12.75">
      <c r="N1146" s="415"/>
      <c r="O1146" s="415"/>
      <c r="P1146" s="415"/>
      <c r="Q1146" s="415"/>
    </row>
    <row r="1147" spans="14:17" ht="12.75">
      <c r="N1147" s="415"/>
      <c r="O1147" s="415"/>
      <c r="P1147" s="415"/>
      <c r="Q1147" s="415"/>
    </row>
    <row r="1148" spans="14:17" ht="12.75">
      <c r="N1148" s="415"/>
      <c r="O1148" s="415"/>
      <c r="P1148" s="415"/>
      <c r="Q1148" s="415"/>
    </row>
    <row r="1149" spans="14:17" ht="12.75">
      <c r="N1149" s="415"/>
      <c r="O1149" s="415"/>
      <c r="P1149" s="415"/>
      <c r="Q1149" s="415"/>
    </row>
    <row r="1150" spans="14:17" ht="12.75">
      <c r="N1150" s="415"/>
      <c r="O1150" s="415"/>
      <c r="P1150" s="415"/>
      <c r="Q1150" s="415"/>
    </row>
    <row r="1151" spans="14:17" ht="12.75">
      <c r="N1151" s="415"/>
      <c r="O1151" s="415"/>
      <c r="P1151" s="415"/>
      <c r="Q1151" s="415"/>
    </row>
    <row r="1152" spans="14:17" ht="12.75">
      <c r="N1152" s="415"/>
      <c r="O1152" s="415"/>
      <c r="P1152" s="415"/>
      <c r="Q1152" s="415"/>
    </row>
    <row r="1153" spans="14:17" ht="12.75">
      <c r="N1153" s="415"/>
      <c r="O1153" s="415"/>
      <c r="P1153" s="415"/>
      <c r="Q1153" s="415"/>
    </row>
    <row r="1154" spans="14:17" ht="12.75">
      <c r="N1154" s="415"/>
      <c r="O1154" s="415"/>
      <c r="P1154" s="415"/>
      <c r="Q1154" s="415"/>
    </row>
    <row r="1155" spans="14:17" ht="12.75">
      <c r="N1155" s="415"/>
      <c r="O1155" s="415"/>
      <c r="P1155" s="415"/>
      <c r="Q1155" s="415"/>
    </row>
    <row r="1156" spans="14:17" ht="12.75">
      <c r="N1156" s="415"/>
      <c r="O1156" s="415"/>
      <c r="P1156" s="415"/>
      <c r="Q1156" s="415"/>
    </row>
    <row r="1157" spans="14:17" ht="12.75">
      <c r="N1157" s="415"/>
      <c r="O1157" s="415"/>
      <c r="P1157" s="415"/>
      <c r="Q1157" s="415"/>
    </row>
    <row r="1158" spans="14:17" ht="12.75">
      <c r="N1158" s="415"/>
      <c r="O1158" s="415"/>
      <c r="P1158" s="415"/>
      <c r="Q1158" s="415"/>
    </row>
    <row r="1159" spans="14:17" ht="12.75">
      <c r="N1159" s="415"/>
      <c r="O1159" s="415"/>
      <c r="P1159" s="415"/>
      <c r="Q1159" s="415"/>
    </row>
    <row r="1160" spans="14:17" ht="12.75">
      <c r="N1160" s="415"/>
      <c r="O1160" s="415"/>
      <c r="P1160" s="415"/>
      <c r="Q1160" s="415"/>
    </row>
    <row r="1161" spans="14:17" ht="12.75">
      <c r="N1161" s="415"/>
      <c r="O1161" s="415"/>
      <c r="P1161" s="415"/>
      <c r="Q1161" s="415"/>
    </row>
    <row r="1162" spans="14:17" ht="12.75">
      <c r="N1162" s="415"/>
      <c r="O1162" s="415"/>
      <c r="P1162" s="415"/>
      <c r="Q1162" s="415"/>
    </row>
    <row r="1163" spans="14:17" ht="12.75">
      <c r="N1163" s="415"/>
      <c r="O1163" s="415"/>
      <c r="P1163" s="415"/>
      <c r="Q1163" s="415"/>
    </row>
    <row r="1164" spans="14:17" ht="12.75">
      <c r="N1164" s="415"/>
      <c r="O1164" s="415"/>
      <c r="P1164" s="415"/>
      <c r="Q1164" s="415"/>
    </row>
    <row r="1165" spans="14:17" ht="12.75">
      <c r="N1165" s="415"/>
      <c r="O1165" s="415"/>
      <c r="P1165" s="415"/>
      <c r="Q1165" s="415"/>
    </row>
    <row r="1166" spans="14:17" ht="12.75">
      <c r="N1166" s="415"/>
      <c r="O1166" s="415"/>
      <c r="P1166" s="415"/>
      <c r="Q1166" s="415"/>
    </row>
    <row r="1167" spans="14:17" ht="12.75">
      <c r="N1167" s="415"/>
      <c r="O1167" s="415"/>
      <c r="P1167" s="415"/>
      <c r="Q1167" s="415"/>
    </row>
    <row r="1168" spans="14:17" ht="12.75">
      <c r="N1168" s="415"/>
      <c r="O1168" s="415"/>
      <c r="P1168" s="415"/>
      <c r="Q1168" s="415"/>
    </row>
    <row r="1169" spans="14:17" ht="12.75">
      <c r="N1169" s="415"/>
      <c r="O1169" s="415"/>
      <c r="P1169" s="415"/>
      <c r="Q1169" s="415"/>
    </row>
    <row r="1170" spans="14:17" ht="12.75">
      <c r="N1170" s="415"/>
      <c r="O1170" s="415"/>
      <c r="P1170" s="415"/>
      <c r="Q1170" s="415"/>
    </row>
    <row r="1171" spans="14:17" ht="12.75">
      <c r="N1171" s="415"/>
      <c r="O1171" s="415"/>
      <c r="P1171" s="415"/>
      <c r="Q1171" s="415"/>
    </row>
    <row r="1172" spans="14:17" ht="12.75">
      <c r="N1172" s="415"/>
      <c r="O1172" s="415"/>
      <c r="P1172" s="415"/>
      <c r="Q1172" s="415"/>
    </row>
    <row r="1173" spans="14:17" ht="12.75">
      <c r="N1173" s="415"/>
      <c r="O1173" s="415"/>
      <c r="P1173" s="415"/>
      <c r="Q1173" s="415"/>
    </row>
    <row r="1174" spans="14:17" ht="12.75">
      <c r="N1174" s="415"/>
      <c r="O1174" s="415"/>
      <c r="P1174" s="415"/>
      <c r="Q1174" s="415"/>
    </row>
    <row r="1175" spans="14:17" ht="12.75">
      <c r="N1175" s="415"/>
      <c r="O1175" s="415"/>
      <c r="P1175" s="415"/>
      <c r="Q1175" s="415"/>
    </row>
    <row r="1176" spans="14:17" ht="12.75">
      <c r="N1176" s="415"/>
      <c r="O1176" s="415"/>
      <c r="P1176" s="415"/>
      <c r="Q1176" s="415"/>
    </row>
    <row r="1177" spans="14:17" ht="12.75">
      <c r="N1177" s="415"/>
      <c r="O1177" s="415"/>
      <c r="P1177" s="415"/>
      <c r="Q1177" s="415"/>
    </row>
    <row r="1178" spans="14:17" ht="12.75">
      <c r="N1178" s="415"/>
      <c r="O1178" s="415"/>
      <c r="P1178" s="415"/>
      <c r="Q1178" s="415"/>
    </row>
    <row r="1179" spans="14:17" ht="12.75">
      <c r="N1179" s="415"/>
      <c r="O1179" s="415"/>
      <c r="P1179" s="415"/>
      <c r="Q1179" s="415"/>
    </row>
    <row r="1180" spans="14:17" ht="12.75">
      <c r="N1180" s="415"/>
      <c r="O1180" s="415"/>
      <c r="P1180" s="415"/>
      <c r="Q1180" s="415"/>
    </row>
    <row r="1181" spans="14:17" ht="12.75">
      <c r="N1181" s="415"/>
      <c r="O1181" s="415"/>
      <c r="P1181" s="415"/>
      <c r="Q1181" s="415"/>
    </row>
    <row r="1182" spans="14:17" ht="12.75">
      <c r="N1182" s="415"/>
      <c r="O1182" s="415"/>
      <c r="P1182" s="415"/>
      <c r="Q1182" s="415"/>
    </row>
    <row r="1183" spans="14:17" ht="12.75">
      <c r="N1183" s="415"/>
      <c r="O1183" s="415"/>
      <c r="P1183" s="415"/>
      <c r="Q1183" s="415"/>
    </row>
    <row r="1184" spans="14:17" ht="12.75">
      <c r="N1184" s="415"/>
      <c r="O1184" s="415"/>
      <c r="P1184" s="415"/>
      <c r="Q1184" s="415"/>
    </row>
    <row r="1185" spans="14:17" ht="12.75">
      <c r="N1185" s="415"/>
      <c r="O1185" s="415"/>
      <c r="P1185" s="415"/>
      <c r="Q1185" s="415"/>
    </row>
    <row r="1186" spans="14:17" ht="12.75">
      <c r="N1186" s="415"/>
      <c r="O1186" s="415"/>
      <c r="P1186" s="415"/>
      <c r="Q1186" s="415"/>
    </row>
    <row r="1187" spans="14:17" ht="12.75">
      <c r="N1187" s="415"/>
      <c r="O1187" s="415"/>
      <c r="P1187" s="415"/>
      <c r="Q1187" s="415"/>
    </row>
    <row r="1188" spans="14:17" ht="12.75">
      <c r="N1188" s="415"/>
      <c r="O1188" s="415"/>
      <c r="P1188" s="415"/>
      <c r="Q1188" s="415"/>
    </row>
    <row r="1189" spans="14:17" ht="12.75">
      <c r="N1189" s="415"/>
      <c r="O1189" s="415"/>
      <c r="P1189" s="415"/>
      <c r="Q1189" s="415"/>
    </row>
    <row r="1190" spans="14:17" ht="12.75">
      <c r="N1190" s="415"/>
      <c r="O1190" s="415"/>
      <c r="P1190" s="415"/>
      <c r="Q1190" s="415"/>
    </row>
    <row r="1191" spans="14:17" ht="12.75">
      <c r="N1191" s="415"/>
      <c r="O1191" s="415"/>
      <c r="P1191" s="415"/>
      <c r="Q1191" s="415"/>
    </row>
    <row r="1192" spans="14:17" ht="12.75">
      <c r="N1192" s="415"/>
      <c r="O1192" s="415"/>
      <c r="P1192" s="415"/>
      <c r="Q1192" s="415"/>
    </row>
    <row r="1193" spans="14:17" ht="12.75">
      <c r="N1193" s="415"/>
      <c r="O1193" s="415"/>
      <c r="P1193" s="415"/>
      <c r="Q1193" s="415"/>
    </row>
    <row r="1194" spans="14:17" ht="12.75">
      <c r="N1194" s="415"/>
      <c r="O1194" s="415"/>
      <c r="P1194" s="415"/>
      <c r="Q1194" s="415"/>
    </row>
    <row r="1195" spans="14:17" ht="12.75">
      <c r="N1195" s="415"/>
      <c r="O1195" s="415"/>
      <c r="P1195" s="415"/>
      <c r="Q1195" s="415"/>
    </row>
    <row r="1196" spans="14:17" ht="12.75">
      <c r="N1196" s="415"/>
      <c r="O1196" s="415"/>
      <c r="P1196" s="415"/>
      <c r="Q1196" s="415"/>
    </row>
    <row r="1197" spans="14:17" ht="12.75">
      <c r="N1197" s="415"/>
      <c r="O1197" s="415"/>
      <c r="P1197" s="415"/>
      <c r="Q1197" s="415"/>
    </row>
    <row r="1198" spans="14:17" ht="12.75">
      <c r="N1198" s="415"/>
      <c r="O1198" s="415"/>
      <c r="P1198" s="415"/>
      <c r="Q1198" s="415"/>
    </row>
    <row r="1199" spans="14:17" ht="12.75">
      <c r="N1199" s="415"/>
      <c r="O1199" s="415"/>
      <c r="P1199" s="415"/>
      <c r="Q1199" s="415"/>
    </row>
    <row r="1200" spans="14:17" ht="12.75">
      <c r="N1200" s="415"/>
      <c r="O1200" s="415"/>
      <c r="P1200" s="415"/>
      <c r="Q1200" s="415"/>
    </row>
    <row r="1201" spans="14:17" ht="12.75">
      <c r="N1201" s="415"/>
      <c r="O1201" s="415"/>
      <c r="P1201" s="415"/>
      <c r="Q1201" s="415"/>
    </row>
    <row r="1202" spans="14:17" ht="12.75">
      <c r="N1202" s="415"/>
      <c r="O1202" s="415"/>
      <c r="P1202" s="415"/>
      <c r="Q1202" s="415"/>
    </row>
    <row r="1203" spans="14:17" ht="12.75">
      <c r="N1203" s="415"/>
      <c r="O1203" s="415"/>
      <c r="P1203" s="415"/>
      <c r="Q1203" s="415"/>
    </row>
    <row r="1204" spans="14:17" ht="12.75">
      <c r="N1204" s="415"/>
      <c r="O1204" s="415"/>
      <c r="P1204" s="415"/>
      <c r="Q1204" s="415"/>
    </row>
    <row r="1205" spans="14:17" ht="12.75">
      <c r="N1205" s="415"/>
      <c r="O1205" s="415"/>
      <c r="P1205" s="415"/>
      <c r="Q1205" s="415"/>
    </row>
    <row r="1206" spans="14:17" ht="12.75">
      <c r="N1206" s="415"/>
      <c r="O1206" s="415"/>
      <c r="P1206" s="415"/>
      <c r="Q1206" s="415"/>
    </row>
    <row r="1207" spans="14:17" ht="12.75">
      <c r="N1207" s="415"/>
      <c r="O1207" s="415"/>
      <c r="P1207" s="415"/>
      <c r="Q1207" s="415"/>
    </row>
    <row r="1208" spans="14:17" ht="12.75">
      <c r="N1208" s="415"/>
      <c r="O1208" s="415"/>
      <c r="P1208" s="415"/>
      <c r="Q1208" s="415"/>
    </row>
    <row r="1209" spans="14:17" ht="12.75">
      <c r="N1209" s="415"/>
      <c r="O1209" s="415"/>
      <c r="P1209" s="415"/>
      <c r="Q1209" s="415"/>
    </row>
    <row r="1210" spans="14:17" ht="12.75">
      <c r="N1210" s="415"/>
      <c r="O1210" s="415"/>
      <c r="P1210" s="415"/>
      <c r="Q1210" s="415"/>
    </row>
    <row r="1211" spans="14:17" ht="12.75">
      <c r="N1211" s="415"/>
      <c r="O1211" s="415"/>
      <c r="P1211" s="415"/>
      <c r="Q1211" s="415"/>
    </row>
    <row r="1212" spans="14:17" ht="12.75">
      <c r="N1212" s="415"/>
      <c r="O1212" s="415"/>
      <c r="P1212" s="415"/>
      <c r="Q1212" s="415"/>
    </row>
    <row r="1213" spans="14:17" ht="12.75">
      <c r="N1213" s="415"/>
      <c r="O1213" s="415"/>
      <c r="P1213" s="415"/>
      <c r="Q1213" s="415"/>
    </row>
    <row r="1214" spans="14:17" ht="12.75">
      <c r="N1214" s="415"/>
      <c r="O1214" s="415"/>
      <c r="P1214" s="415"/>
      <c r="Q1214" s="415"/>
    </row>
    <row r="1215" spans="14:17" ht="12.75">
      <c r="N1215" s="415"/>
      <c r="O1215" s="415"/>
      <c r="P1215" s="415"/>
      <c r="Q1215" s="415"/>
    </row>
    <row r="1216" spans="14:17" ht="12.75">
      <c r="N1216" s="415"/>
      <c r="O1216" s="415"/>
      <c r="P1216" s="415"/>
      <c r="Q1216" s="415"/>
    </row>
    <row r="1217" spans="14:17" ht="12.75">
      <c r="N1217" s="415"/>
      <c r="O1217" s="415"/>
      <c r="P1217" s="415"/>
      <c r="Q1217" s="415"/>
    </row>
    <row r="1218" spans="14:17" ht="12.75">
      <c r="N1218" s="415"/>
      <c r="O1218" s="415"/>
      <c r="P1218" s="415"/>
      <c r="Q1218" s="415"/>
    </row>
    <row r="1219" spans="14:17" ht="12.75">
      <c r="N1219" s="415"/>
      <c r="O1219" s="415"/>
      <c r="P1219" s="415"/>
      <c r="Q1219" s="415"/>
    </row>
    <row r="1220" spans="14:17" ht="12.75">
      <c r="N1220" s="415"/>
      <c r="O1220" s="415"/>
      <c r="P1220" s="415"/>
      <c r="Q1220" s="415"/>
    </row>
    <row r="1221" spans="14:17" ht="12.75">
      <c r="N1221" s="415"/>
      <c r="O1221" s="415"/>
      <c r="P1221" s="415"/>
      <c r="Q1221" s="415"/>
    </row>
    <row r="1222" spans="14:17" ht="12.75">
      <c r="N1222" s="415"/>
      <c r="O1222" s="415"/>
      <c r="P1222" s="415"/>
      <c r="Q1222" s="415"/>
    </row>
    <row r="1223" spans="14:17" ht="12.75">
      <c r="N1223" s="415"/>
      <c r="O1223" s="415"/>
      <c r="P1223" s="415"/>
      <c r="Q1223" s="415"/>
    </row>
    <row r="1224" spans="14:17" ht="12.75">
      <c r="N1224" s="415"/>
      <c r="O1224" s="415"/>
      <c r="P1224" s="415"/>
      <c r="Q1224" s="415"/>
    </row>
    <row r="1225" spans="14:17" ht="12.75">
      <c r="N1225" s="415"/>
      <c r="O1225" s="415"/>
      <c r="P1225" s="415"/>
      <c r="Q1225" s="415"/>
    </row>
    <row r="1226" spans="14:17" ht="12.75">
      <c r="N1226" s="415"/>
      <c r="O1226" s="415"/>
      <c r="P1226" s="415"/>
      <c r="Q1226" s="415"/>
    </row>
    <row r="1227" spans="14:17" ht="12.75">
      <c r="N1227" s="415"/>
      <c r="O1227" s="415"/>
      <c r="P1227" s="415"/>
      <c r="Q1227" s="415"/>
    </row>
    <row r="1228" spans="14:17" ht="12.75">
      <c r="N1228" s="415"/>
      <c r="O1228" s="415"/>
      <c r="P1228" s="415"/>
      <c r="Q1228" s="415"/>
    </row>
    <row r="1229" spans="14:17" ht="12.75">
      <c r="N1229" s="415"/>
      <c r="O1229" s="415"/>
      <c r="P1229" s="415"/>
      <c r="Q1229" s="415"/>
    </row>
    <row r="1230" spans="14:17" ht="12.75">
      <c r="N1230" s="415"/>
      <c r="O1230" s="415"/>
      <c r="P1230" s="415"/>
      <c r="Q1230" s="415"/>
    </row>
    <row r="1231" spans="14:17" ht="12.75">
      <c r="N1231" s="415"/>
      <c r="O1231" s="415"/>
      <c r="P1231" s="415"/>
      <c r="Q1231" s="415"/>
    </row>
    <row r="1232" spans="14:17" ht="12.75">
      <c r="N1232" s="415"/>
      <c r="O1232" s="415"/>
      <c r="P1232" s="415"/>
      <c r="Q1232" s="415"/>
    </row>
    <row r="1233" spans="14:17" ht="12.75">
      <c r="N1233" s="415"/>
      <c r="O1233" s="415"/>
      <c r="P1233" s="415"/>
      <c r="Q1233" s="415"/>
    </row>
    <row r="1234" spans="14:17" ht="12.75">
      <c r="N1234" s="415"/>
      <c r="O1234" s="415"/>
      <c r="P1234" s="415"/>
      <c r="Q1234" s="415"/>
    </row>
    <row r="1235" spans="14:17" ht="12.75">
      <c r="N1235" s="415"/>
      <c r="O1235" s="415"/>
      <c r="P1235" s="415"/>
      <c r="Q1235" s="415"/>
    </row>
    <row r="1236" spans="14:17" ht="12.75">
      <c r="N1236" s="415"/>
      <c r="O1236" s="415"/>
      <c r="P1236" s="415"/>
      <c r="Q1236" s="415"/>
    </row>
    <row r="1237" spans="14:17" ht="12.75">
      <c r="N1237" s="415"/>
      <c r="O1237" s="415"/>
      <c r="P1237" s="415"/>
      <c r="Q1237" s="415"/>
    </row>
    <row r="1238" spans="14:17" ht="12.75">
      <c r="N1238" s="415"/>
      <c r="O1238" s="415"/>
      <c r="P1238" s="415"/>
      <c r="Q1238" s="415"/>
    </row>
    <row r="1239" spans="14:17" ht="12.75">
      <c r="N1239" s="415"/>
      <c r="O1239" s="415"/>
      <c r="P1239" s="415"/>
      <c r="Q1239" s="415"/>
    </row>
    <row r="1240" spans="14:17" ht="12.75">
      <c r="N1240" s="415"/>
      <c r="O1240" s="415"/>
      <c r="P1240" s="415"/>
      <c r="Q1240" s="415"/>
    </row>
    <row r="1241" spans="14:17" ht="12.75">
      <c r="N1241" s="415"/>
      <c r="O1241" s="415"/>
      <c r="P1241" s="415"/>
      <c r="Q1241" s="415"/>
    </row>
    <row r="1242" spans="14:17" ht="12.75">
      <c r="N1242" s="415"/>
      <c r="O1242" s="415"/>
      <c r="P1242" s="415"/>
      <c r="Q1242" s="415"/>
    </row>
    <row r="1243" spans="14:17" ht="12.75">
      <c r="N1243" s="415"/>
      <c r="O1243" s="415"/>
      <c r="P1243" s="415"/>
      <c r="Q1243" s="415"/>
    </row>
    <row r="1244" spans="14:17" ht="12.75">
      <c r="N1244" s="415"/>
      <c r="O1244" s="415"/>
      <c r="P1244" s="415"/>
      <c r="Q1244" s="415"/>
    </row>
    <row r="1245" spans="14:17" ht="12.75">
      <c r="N1245" s="415"/>
      <c r="O1245" s="415"/>
      <c r="P1245" s="415"/>
      <c r="Q1245" s="415"/>
    </row>
    <row r="1246" spans="14:17" ht="12.75">
      <c r="N1246" s="415"/>
      <c r="O1246" s="415"/>
      <c r="P1246" s="415"/>
      <c r="Q1246" s="415"/>
    </row>
    <row r="1247" spans="14:17" ht="12.75">
      <c r="N1247" s="415"/>
      <c r="O1247" s="415"/>
      <c r="P1247" s="415"/>
      <c r="Q1247" s="415"/>
    </row>
    <row r="1248" spans="14:17" ht="12.75">
      <c r="N1248" s="415"/>
      <c r="O1248" s="415"/>
      <c r="P1248" s="415"/>
      <c r="Q1248" s="415"/>
    </row>
    <row r="1249" spans="14:17" ht="12.75">
      <c r="N1249" s="415"/>
      <c r="O1249" s="415"/>
      <c r="P1249" s="415"/>
      <c r="Q1249" s="415"/>
    </row>
    <row r="1250" spans="14:17" ht="12.75">
      <c r="N1250" s="415"/>
      <c r="O1250" s="415"/>
      <c r="P1250" s="415"/>
      <c r="Q1250" s="415"/>
    </row>
    <row r="1251" spans="14:17" ht="12.75">
      <c r="N1251" s="415"/>
      <c r="O1251" s="415"/>
      <c r="P1251" s="415"/>
      <c r="Q1251" s="415"/>
    </row>
    <row r="1252" spans="14:17" ht="12.75">
      <c r="N1252" s="415"/>
      <c r="O1252" s="415"/>
      <c r="P1252" s="415"/>
      <c r="Q1252" s="415"/>
    </row>
    <row r="1253" spans="14:17" ht="12.75">
      <c r="N1253" s="415"/>
      <c r="O1253" s="415"/>
      <c r="P1253" s="415"/>
      <c r="Q1253" s="415"/>
    </row>
    <row r="1254" spans="14:17" ht="12.75">
      <c r="N1254" s="415"/>
      <c r="O1254" s="415"/>
      <c r="P1254" s="415"/>
      <c r="Q1254" s="415"/>
    </row>
    <row r="1255" spans="14:17" ht="12.75">
      <c r="N1255" s="415"/>
      <c r="O1255" s="415"/>
      <c r="P1255" s="415"/>
      <c r="Q1255" s="415"/>
    </row>
    <row r="1256" spans="14:17" ht="12.75">
      <c r="N1256" s="415"/>
      <c r="O1256" s="415"/>
      <c r="P1256" s="415"/>
      <c r="Q1256" s="415"/>
    </row>
    <row r="1257" spans="14:17" ht="12.75">
      <c r="N1257" s="415"/>
      <c r="O1257" s="415"/>
      <c r="P1257" s="415"/>
      <c r="Q1257" s="415"/>
    </row>
    <row r="1258" spans="14:17" ht="12.75">
      <c r="N1258" s="415"/>
      <c r="O1258" s="415"/>
      <c r="P1258" s="415"/>
      <c r="Q1258" s="415"/>
    </row>
    <row r="1259" spans="14:17" ht="12.75">
      <c r="N1259" s="415"/>
      <c r="O1259" s="415"/>
      <c r="P1259" s="415"/>
      <c r="Q1259" s="415"/>
    </row>
    <row r="1260" spans="14:17" ht="12.75">
      <c r="N1260" s="415"/>
      <c r="O1260" s="415"/>
      <c r="P1260" s="415"/>
      <c r="Q1260" s="415"/>
    </row>
    <row r="1261" spans="14:17" ht="12.75">
      <c r="N1261" s="415"/>
      <c r="O1261" s="415"/>
      <c r="P1261" s="415"/>
      <c r="Q1261" s="415"/>
    </row>
    <row r="1262" spans="14:17" ht="12.75">
      <c r="N1262" s="415"/>
      <c r="O1262" s="415"/>
      <c r="P1262" s="415"/>
      <c r="Q1262" s="415"/>
    </row>
    <row r="1263" spans="14:17" ht="12.75">
      <c r="N1263" s="415"/>
      <c r="O1263" s="415"/>
      <c r="P1263" s="415"/>
      <c r="Q1263" s="415"/>
    </row>
    <row r="1264" spans="14:17" ht="12.75">
      <c r="N1264" s="415"/>
      <c r="O1264" s="415"/>
      <c r="P1264" s="415"/>
      <c r="Q1264" s="415"/>
    </row>
    <row r="1265" spans="14:17" ht="12.75">
      <c r="N1265" s="415"/>
      <c r="O1265" s="415"/>
      <c r="P1265" s="415"/>
      <c r="Q1265" s="415"/>
    </row>
    <row r="1266" spans="14:17" ht="12.75">
      <c r="N1266" s="415"/>
      <c r="O1266" s="415"/>
      <c r="P1266" s="415"/>
      <c r="Q1266" s="415"/>
    </row>
    <row r="1267" spans="14:17" ht="12.75">
      <c r="N1267" s="415"/>
      <c r="O1267" s="415"/>
      <c r="P1267" s="415"/>
      <c r="Q1267" s="415"/>
    </row>
    <row r="1268" spans="14:17" ht="12.75">
      <c r="N1268" s="415"/>
      <c r="O1268" s="415"/>
      <c r="P1268" s="415"/>
      <c r="Q1268" s="415"/>
    </row>
    <row r="1269" spans="14:17" ht="12.75">
      <c r="N1269" s="415"/>
      <c r="O1269" s="415"/>
      <c r="P1269" s="415"/>
      <c r="Q1269" s="415"/>
    </row>
    <row r="1270" spans="14:17" ht="12.75">
      <c r="N1270" s="415"/>
      <c r="O1270" s="415"/>
      <c r="P1270" s="415"/>
      <c r="Q1270" s="415"/>
    </row>
    <row r="1271" spans="14:17" ht="12.75">
      <c r="N1271" s="415"/>
      <c r="O1271" s="415"/>
      <c r="P1271" s="415"/>
      <c r="Q1271" s="415"/>
    </row>
    <row r="1272" spans="14:17" ht="12.75">
      <c r="N1272" s="415"/>
      <c r="O1272" s="415"/>
      <c r="P1272" s="415"/>
      <c r="Q1272" s="415"/>
    </row>
    <row r="1273" spans="14:17" ht="12.75">
      <c r="N1273" s="415"/>
      <c r="O1273" s="415"/>
      <c r="P1273" s="415"/>
      <c r="Q1273" s="415"/>
    </row>
    <row r="1274" spans="14:17" ht="12.75">
      <c r="N1274" s="415"/>
      <c r="O1274" s="415"/>
      <c r="P1274" s="415"/>
      <c r="Q1274" s="415"/>
    </row>
    <row r="1275" spans="14:17" ht="12.75">
      <c r="N1275" s="415"/>
      <c r="O1275" s="415"/>
      <c r="P1275" s="415"/>
      <c r="Q1275" s="415"/>
    </row>
    <row r="1276" spans="14:17" ht="12.75">
      <c r="N1276" s="415"/>
      <c r="O1276" s="415"/>
      <c r="P1276" s="415"/>
      <c r="Q1276" s="415"/>
    </row>
    <row r="1277" spans="14:17" ht="12.75">
      <c r="N1277" s="415"/>
      <c r="O1277" s="415"/>
      <c r="P1277" s="415"/>
      <c r="Q1277" s="415"/>
    </row>
    <row r="1278" spans="14:17" ht="12.75">
      <c r="N1278" s="415"/>
      <c r="O1278" s="415"/>
      <c r="P1278" s="415"/>
      <c r="Q1278" s="415"/>
    </row>
    <row r="1279" spans="14:17" ht="12.75">
      <c r="N1279" s="415"/>
      <c r="O1279" s="415"/>
      <c r="P1279" s="415"/>
      <c r="Q1279" s="415"/>
    </row>
    <row r="1280" spans="14:17" ht="12.75">
      <c r="N1280" s="415"/>
      <c r="O1280" s="415"/>
      <c r="P1280" s="415"/>
      <c r="Q1280" s="415"/>
    </row>
    <row r="1281" spans="14:17" ht="12.75">
      <c r="N1281" s="415"/>
      <c r="O1281" s="415"/>
      <c r="P1281" s="415"/>
      <c r="Q1281" s="415"/>
    </row>
    <row r="1282" spans="14:17" ht="12.75">
      <c r="N1282" s="415"/>
      <c r="O1282" s="415"/>
      <c r="P1282" s="415"/>
      <c r="Q1282" s="415"/>
    </row>
    <row r="1283" spans="14:17" ht="12.75">
      <c r="N1283" s="415"/>
      <c r="O1283" s="415"/>
      <c r="P1283" s="415"/>
      <c r="Q1283" s="415"/>
    </row>
    <row r="1284" spans="14:17" ht="12.75">
      <c r="N1284" s="415"/>
      <c r="O1284" s="415"/>
      <c r="P1284" s="415"/>
      <c r="Q1284" s="415"/>
    </row>
    <row r="1285" spans="14:17" ht="12.75">
      <c r="N1285" s="415"/>
      <c r="O1285" s="415"/>
      <c r="P1285" s="415"/>
      <c r="Q1285" s="415"/>
    </row>
    <row r="1286" spans="14:17" ht="12.75">
      <c r="N1286" s="415"/>
      <c r="O1286" s="415"/>
      <c r="P1286" s="415"/>
      <c r="Q1286" s="415"/>
    </row>
    <row r="1287" spans="14:17" ht="12.75">
      <c r="N1287" s="415"/>
      <c r="O1287" s="415"/>
      <c r="P1287" s="415"/>
      <c r="Q1287" s="415"/>
    </row>
    <row r="1288" spans="14:17" ht="12.75">
      <c r="N1288" s="415"/>
      <c r="O1288" s="415"/>
      <c r="P1288" s="415"/>
      <c r="Q1288" s="415"/>
    </row>
    <row r="1289" spans="14:17" ht="12.75">
      <c r="N1289" s="415"/>
      <c r="O1289" s="415"/>
      <c r="P1289" s="415"/>
      <c r="Q1289" s="415"/>
    </row>
    <row r="1290" spans="14:17" ht="12.75">
      <c r="N1290" s="415"/>
      <c r="O1290" s="415"/>
      <c r="P1290" s="415"/>
      <c r="Q1290" s="415"/>
    </row>
    <row r="1291" spans="14:17" ht="12.75">
      <c r="N1291" s="415"/>
      <c r="O1291" s="415"/>
      <c r="P1291" s="415"/>
      <c r="Q1291" s="415"/>
    </row>
    <row r="1292" spans="14:17" ht="12.75">
      <c r="N1292" s="415"/>
      <c r="O1292" s="415"/>
      <c r="P1292" s="415"/>
      <c r="Q1292" s="415"/>
    </row>
    <row r="1293" spans="14:17" ht="12.75">
      <c r="N1293" s="415"/>
      <c r="O1293" s="415"/>
      <c r="P1293" s="415"/>
      <c r="Q1293" s="415"/>
    </row>
    <row r="1294" spans="14:17" ht="12.75">
      <c r="N1294" s="415"/>
      <c r="O1294" s="415"/>
      <c r="P1294" s="415"/>
      <c r="Q1294" s="415"/>
    </row>
    <row r="1295" spans="14:17" ht="12.75">
      <c r="N1295" s="415"/>
      <c r="O1295" s="415"/>
      <c r="P1295" s="415"/>
      <c r="Q1295" s="415"/>
    </row>
    <row r="1296" spans="14:17" ht="12.75">
      <c r="N1296" s="415"/>
      <c r="O1296" s="415"/>
      <c r="P1296" s="415"/>
      <c r="Q1296" s="415"/>
    </row>
    <row r="1297" spans="14:17" ht="12.75">
      <c r="N1297" s="415"/>
      <c r="O1297" s="415"/>
      <c r="P1297" s="415"/>
      <c r="Q1297" s="415"/>
    </row>
    <row r="1298" spans="14:17" ht="12.75">
      <c r="N1298" s="415"/>
      <c r="O1298" s="415"/>
      <c r="P1298" s="415"/>
      <c r="Q1298" s="415"/>
    </row>
    <row r="1299" spans="14:17" ht="12.75">
      <c r="N1299" s="415"/>
      <c r="O1299" s="415"/>
      <c r="P1299" s="415"/>
      <c r="Q1299" s="415"/>
    </row>
    <row r="1300" spans="14:17" ht="12.75">
      <c r="N1300" s="415"/>
      <c r="O1300" s="415"/>
      <c r="P1300" s="415"/>
      <c r="Q1300" s="415"/>
    </row>
    <row r="1301" spans="14:17" ht="12.75">
      <c r="N1301" s="415"/>
      <c r="O1301" s="415"/>
      <c r="P1301" s="415"/>
      <c r="Q1301" s="415"/>
    </row>
    <row r="1302" spans="14:17" ht="12.75">
      <c r="N1302" s="415"/>
      <c r="O1302" s="415"/>
      <c r="P1302" s="415"/>
      <c r="Q1302" s="415"/>
    </row>
    <row r="1303" spans="14:17" ht="12.75">
      <c r="N1303" s="415"/>
      <c r="O1303" s="415"/>
      <c r="P1303" s="415"/>
      <c r="Q1303" s="415"/>
    </row>
    <row r="1304" spans="14:17" ht="12.75">
      <c r="N1304" s="415"/>
      <c r="O1304" s="415"/>
      <c r="P1304" s="415"/>
      <c r="Q1304" s="415"/>
    </row>
    <row r="1305" spans="14:17" ht="12.75">
      <c r="N1305" s="415"/>
      <c r="O1305" s="415"/>
      <c r="P1305" s="415"/>
      <c r="Q1305" s="415"/>
    </row>
    <row r="1306" spans="14:17" ht="12.75">
      <c r="N1306" s="415"/>
      <c r="O1306" s="415"/>
      <c r="P1306" s="415"/>
      <c r="Q1306" s="415"/>
    </row>
    <row r="1307" spans="14:17" ht="12.75">
      <c r="N1307" s="415"/>
      <c r="O1307" s="415"/>
      <c r="P1307" s="415"/>
      <c r="Q1307" s="415"/>
    </row>
    <row r="1308" spans="14:17" ht="12.75">
      <c r="N1308" s="415"/>
      <c r="O1308" s="415"/>
      <c r="P1308" s="415"/>
      <c r="Q1308" s="415"/>
    </row>
    <row r="1309" spans="14:17" ht="12.75">
      <c r="N1309" s="415"/>
      <c r="O1309" s="415"/>
      <c r="P1309" s="415"/>
      <c r="Q1309" s="415"/>
    </row>
    <row r="1310" spans="14:17" ht="12.75">
      <c r="N1310" s="415"/>
      <c r="O1310" s="415"/>
      <c r="P1310" s="415"/>
      <c r="Q1310" s="415"/>
    </row>
    <row r="1311" spans="14:17" ht="12.75">
      <c r="N1311" s="415"/>
      <c r="O1311" s="415"/>
      <c r="P1311" s="415"/>
      <c r="Q1311" s="415"/>
    </row>
    <row r="1312" spans="14:17" ht="12.75">
      <c r="N1312" s="415"/>
      <c r="O1312" s="415"/>
      <c r="P1312" s="415"/>
      <c r="Q1312" s="415"/>
    </row>
    <row r="1313" spans="14:17" ht="12.75">
      <c r="N1313" s="415"/>
      <c r="O1313" s="415"/>
      <c r="P1313" s="415"/>
      <c r="Q1313" s="415"/>
    </row>
    <row r="1314" spans="14:17" ht="12.75">
      <c r="N1314" s="415"/>
      <c r="O1314" s="415"/>
      <c r="P1314" s="415"/>
      <c r="Q1314" s="415"/>
    </row>
    <row r="1315" spans="14:17" ht="12.75">
      <c r="N1315" s="415"/>
      <c r="O1315" s="415"/>
      <c r="P1315" s="415"/>
      <c r="Q1315" s="415"/>
    </row>
    <row r="1316" spans="14:17" ht="12.75">
      <c r="N1316" s="415"/>
      <c r="O1316" s="415"/>
      <c r="P1316" s="415"/>
      <c r="Q1316" s="415"/>
    </row>
    <row r="1317" spans="14:17" ht="12.75">
      <c r="N1317" s="415"/>
      <c r="O1317" s="415"/>
      <c r="P1317" s="415"/>
      <c r="Q1317" s="415"/>
    </row>
    <row r="1318" spans="14:17" ht="12.75">
      <c r="N1318" s="415"/>
      <c r="O1318" s="415"/>
      <c r="P1318" s="415"/>
      <c r="Q1318" s="415"/>
    </row>
    <row r="1319" spans="14:17" ht="12.75">
      <c r="N1319" s="415"/>
      <c r="O1319" s="415"/>
      <c r="P1319" s="415"/>
      <c r="Q1319" s="415"/>
    </row>
    <row r="1320" spans="14:17" ht="12.75">
      <c r="N1320" s="415"/>
      <c r="O1320" s="415"/>
      <c r="P1320" s="415"/>
      <c r="Q1320" s="415"/>
    </row>
    <row r="1321" spans="14:17" ht="12.75">
      <c r="N1321" s="415"/>
      <c r="O1321" s="415"/>
      <c r="P1321" s="415"/>
      <c r="Q1321" s="415"/>
    </row>
    <row r="1322" spans="14:17" ht="12.75">
      <c r="N1322" s="415"/>
      <c r="O1322" s="415"/>
      <c r="P1322" s="415"/>
      <c r="Q1322" s="415"/>
    </row>
    <row r="1323" spans="14:17" ht="12.75">
      <c r="N1323" s="415"/>
      <c r="O1323" s="415"/>
      <c r="P1323" s="415"/>
      <c r="Q1323" s="415"/>
    </row>
    <row r="1324" spans="14:17" ht="12.75">
      <c r="N1324" s="415"/>
      <c r="O1324" s="415"/>
      <c r="P1324" s="415"/>
      <c r="Q1324" s="415"/>
    </row>
    <row r="1325" spans="14:17" ht="12.75">
      <c r="N1325" s="415"/>
      <c r="O1325" s="415"/>
      <c r="P1325" s="415"/>
      <c r="Q1325" s="415"/>
    </row>
    <row r="1326" spans="14:17" ht="12.75">
      <c r="N1326" s="415"/>
      <c r="O1326" s="415"/>
      <c r="P1326" s="415"/>
      <c r="Q1326" s="415"/>
    </row>
    <row r="1327" spans="14:17" ht="12.75">
      <c r="N1327" s="415"/>
      <c r="O1327" s="415"/>
      <c r="P1327" s="415"/>
      <c r="Q1327" s="415"/>
    </row>
    <row r="1328" spans="14:17" ht="12.75">
      <c r="N1328" s="415"/>
      <c r="O1328" s="415"/>
      <c r="P1328" s="415"/>
      <c r="Q1328" s="415"/>
    </row>
    <row r="1329" spans="14:17" ht="12.75">
      <c r="N1329" s="415"/>
      <c r="O1329" s="415"/>
      <c r="P1329" s="415"/>
      <c r="Q1329" s="415"/>
    </row>
    <row r="1330" spans="14:17" ht="12.75">
      <c r="N1330" s="415"/>
      <c r="O1330" s="415"/>
      <c r="P1330" s="415"/>
      <c r="Q1330" s="415"/>
    </row>
    <row r="1331" spans="14:17" ht="12.75">
      <c r="N1331" s="415"/>
      <c r="O1331" s="415"/>
      <c r="P1331" s="415"/>
      <c r="Q1331" s="415"/>
    </row>
    <row r="1332" spans="14:17" ht="12.75">
      <c r="N1332" s="415"/>
      <c r="O1332" s="415"/>
      <c r="P1332" s="415"/>
      <c r="Q1332" s="415"/>
    </row>
    <row r="1333" spans="14:17" ht="12.75">
      <c r="N1333" s="415"/>
      <c r="O1333" s="415"/>
      <c r="P1333" s="415"/>
      <c r="Q1333" s="415"/>
    </row>
    <row r="1334" spans="14:17" ht="12.75">
      <c r="N1334" s="415"/>
      <c r="O1334" s="415"/>
      <c r="P1334" s="415"/>
      <c r="Q1334" s="415"/>
    </row>
    <row r="1335" spans="14:17" ht="12.75">
      <c r="N1335" s="415"/>
      <c r="O1335" s="415"/>
      <c r="P1335" s="415"/>
      <c r="Q1335" s="415"/>
    </row>
    <row r="1336" spans="14:17" ht="12.75">
      <c r="N1336" s="415"/>
      <c r="O1336" s="415"/>
      <c r="P1336" s="415"/>
      <c r="Q1336" s="415"/>
    </row>
    <row r="1337" spans="14:17" ht="12.75">
      <c r="N1337" s="415"/>
      <c r="O1337" s="415"/>
      <c r="P1337" s="415"/>
      <c r="Q1337" s="415"/>
    </row>
    <row r="1338" spans="14:17" ht="12.75">
      <c r="N1338" s="415"/>
      <c r="O1338" s="415"/>
      <c r="P1338" s="415"/>
      <c r="Q1338" s="415"/>
    </row>
    <row r="1339" spans="14:17" ht="12.75">
      <c r="N1339" s="415"/>
      <c r="O1339" s="415"/>
      <c r="P1339" s="415"/>
      <c r="Q1339" s="415"/>
    </row>
    <row r="1340" spans="14:17" ht="12.75">
      <c r="N1340" s="415"/>
      <c r="O1340" s="415"/>
      <c r="P1340" s="415"/>
      <c r="Q1340" s="415"/>
    </row>
    <row r="1341" spans="14:17" ht="12.75">
      <c r="N1341" s="415"/>
      <c r="O1341" s="415"/>
      <c r="P1341" s="415"/>
      <c r="Q1341" s="415"/>
    </row>
    <row r="1342" spans="14:17" ht="12.75">
      <c r="N1342" s="415"/>
      <c r="O1342" s="415"/>
      <c r="P1342" s="415"/>
      <c r="Q1342" s="415"/>
    </row>
    <row r="1343" spans="14:17" ht="12.75">
      <c r="N1343" s="415"/>
      <c r="O1343" s="415"/>
      <c r="P1343" s="415"/>
      <c r="Q1343" s="415"/>
    </row>
    <row r="1344" spans="14:17" ht="12.75">
      <c r="N1344" s="415"/>
      <c r="O1344" s="415"/>
      <c r="P1344" s="415"/>
      <c r="Q1344" s="415"/>
    </row>
    <row r="1345" spans="14:17" ht="12.75">
      <c r="N1345" s="415"/>
      <c r="O1345" s="415"/>
      <c r="P1345" s="415"/>
      <c r="Q1345" s="415"/>
    </row>
    <row r="1346" spans="14:17" ht="12.75">
      <c r="N1346" s="415"/>
      <c r="O1346" s="415"/>
      <c r="P1346" s="415"/>
      <c r="Q1346" s="415"/>
    </row>
    <row r="1347" spans="14:17" ht="12.75">
      <c r="N1347" s="415"/>
      <c r="O1347" s="415"/>
      <c r="P1347" s="415"/>
      <c r="Q1347" s="415"/>
    </row>
    <row r="1348" spans="14:17" ht="12.75">
      <c r="N1348" s="415"/>
      <c r="O1348" s="415"/>
      <c r="P1348" s="415"/>
      <c r="Q1348" s="415"/>
    </row>
    <row r="1349" spans="14:17" ht="12.75">
      <c r="N1349" s="415"/>
      <c r="O1349" s="415"/>
      <c r="P1349" s="415"/>
      <c r="Q1349" s="415"/>
    </row>
    <row r="1350" spans="14:17" ht="12.75">
      <c r="N1350" s="415"/>
      <c r="O1350" s="415"/>
      <c r="P1350" s="415"/>
      <c r="Q1350" s="415"/>
    </row>
    <row r="1351" spans="14:17" ht="12.75">
      <c r="N1351" s="415"/>
      <c r="O1351" s="415"/>
      <c r="P1351" s="415"/>
      <c r="Q1351" s="415"/>
    </row>
    <row r="1352" spans="14:17" ht="12.75">
      <c r="N1352" s="415"/>
      <c r="O1352" s="415"/>
      <c r="P1352" s="415"/>
      <c r="Q1352" s="415"/>
    </row>
    <row r="1353" spans="14:17" ht="12.75">
      <c r="N1353" s="415"/>
      <c r="O1353" s="415"/>
      <c r="P1353" s="415"/>
      <c r="Q1353" s="415"/>
    </row>
    <row r="1354" spans="14:17" ht="12.75">
      <c r="N1354" s="415"/>
      <c r="O1354" s="415"/>
      <c r="P1354" s="415"/>
      <c r="Q1354" s="415"/>
    </row>
    <row r="1355" spans="14:17" ht="12.75">
      <c r="N1355" s="415"/>
      <c r="O1355" s="415"/>
      <c r="P1355" s="415"/>
      <c r="Q1355" s="415"/>
    </row>
    <row r="1356" spans="14:17" ht="12.75">
      <c r="N1356" s="415"/>
      <c r="O1356" s="415"/>
      <c r="P1356" s="415"/>
      <c r="Q1356" s="415"/>
    </row>
    <row r="1357" spans="14:17" ht="12.75">
      <c r="N1357" s="415"/>
      <c r="O1357" s="415"/>
      <c r="P1357" s="415"/>
      <c r="Q1357" s="415"/>
    </row>
    <row r="1358" spans="14:17" ht="12.75">
      <c r="N1358" s="415"/>
      <c r="O1358" s="415"/>
      <c r="P1358" s="415"/>
      <c r="Q1358" s="415"/>
    </row>
    <row r="1359" spans="14:17" ht="12.75">
      <c r="N1359" s="415"/>
      <c r="O1359" s="415"/>
      <c r="P1359" s="415"/>
      <c r="Q1359" s="415"/>
    </row>
    <row r="1360" spans="14:17" ht="12.75">
      <c r="N1360" s="415"/>
      <c r="O1360" s="415"/>
      <c r="P1360" s="415"/>
      <c r="Q1360" s="415"/>
    </row>
    <row r="1361" spans="14:17" ht="12.75">
      <c r="N1361" s="415"/>
      <c r="O1361" s="415"/>
      <c r="P1361" s="415"/>
      <c r="Q1361" s="415"/>
    </row>
    <row r="1362" spans="14:17" ht="12.75">
      <c r="N1362" s="415"/>
      <c r="O1362" s="415"/>
      <c r="P1362" s="415"/>
      <c r="Q1362" s="415"/>
    </row>
    <row r="1363" spans="14:17" ht="12.75">
      <c r="N1363" s="415"/>
      <c r="O1363" s="415"/>
      <c r="P1363" s="415"/>
      <c r="Q1363" s="415"/>
    </row>
    <row r="1364" spans="14:17" ht="12.75">
      <c r="N1364" s="415"/>
      <c r="O1364" s="415"/>
      <c r="P1364" s="415"/>
      <c r="Q1364" s="415"/>
    </row>
    <row r="1365" spans="14:17" ht="12.75">
      <c r="N1365" s="415"/>
      <c r="O1365" s="415"/>
      <c r="P1365" s="415"/>
      <c r="Q1365" s="415"/>
    </row>
    <row r="1366" spans="14:17" ht="12.75">
      <c r="N1366" s="415"/>
      <c r="O1366" s="415"/>
      <c r="P1366" s="415"/>
      <c r="Q1366" s="415"/>
    </row>
    <row r="1367" spans="14:17" ht="12.75">
      <c r="N1367" s="415"/>
      <c r="O1367" s="415"/>
      <c r="P1367" s="415"/>
      <c r="Q1367" s="415"/>
    </row>
    <row r="1368" spans="14:17" ht="12.75">
      <c r="N1368" s="415"/>
      <c r="O1368" s="415"/>
      <c r="P1368" s="415"/>
      <c r="Q1368" s="415"/>
    </row>
    <row r="1369" spans="14:17" ht="12.75">
      <c r="N1369" s="415"/>
      <c r="O1369" s="415"/>
      <c r="P1369" s="415"/>
      <c r="Q1369" s="415"/>
    </row>
    <row r="1370" spans="14:17" ht="12.75">
      <c r="N1370" s="415"/>
      <c r="O1370" s="415"/>
      <c r="P1370" s="415"/>
      <c r="Q1370" s="415"/>
    </row>
    <row r="1371" spans="14:17" ht="12.75">
      <c r="N1371" s="415"/>
      <c r="O1371" s="415"/>
      <c r="P1371" s="415"/>
      <c r="Q1371" s="415"/>
    </row>
    <row r="1372" spans="14:17" ht="12.75">
      <c r="N1372" s="415"/>
      <c r="O1372" s="415"/>
      <c r="P1372" s="415"/>
      <c r="Q1372" s="415"/>
    </row>
    <row r="1373" spans="14:17" ht="12.75">
      <c r="N1373" s="415"/>
      <c r="O1373" s="415"/>
      <c r="P1373" s="415"/>
      <c r="Q1373" s="415"/>
    </row>
    <row r="1374" spans="14:17" ht="12.75">
      <c r="N1374" s="415"/>
      <c r="O1374" s="415"/>
      <c r="P1374" s="415"/>
      <c r="Q1374" s="415"/>
    </row>
    <row r="1375" spans="14:17" ht="12.75">
      <c r="N1375" s="415"/>
      <c r="O1375" s="415"/>
      <c r="P1375" s="415"/>
      <c r="Q1375" s="415"/>
    </row>
    <row r="1376" spans="14:17" ht="12.75">
      <c r="N1376" s="415"/>
      <c r="O1376" s="415"/>
      <c r="P1376" s="415"/>
      <c r="Q1376" s="415"/>
    </row>
    <row r="1377" spans="14:17" ht="12.75">
      <c r="N1377" s="415"/>
      <c r="O1377" s="415"/>
      <c r="P1377" s="415"/>
      <c r="Q1377" s="415"/>
    </row>
    <row r="1378" spans="14:17" ht="12.75">
      <c r="N1378" s="415"/>
      <c r="O1378" s="415"/>
      <c r="P1378" s="415"/>
      <c r="Q1378" s="415"/>
    </row>
    <row r="1379" spans="14:17" ht="12.75">
      <c r="N1379" s="415"/>
      <c r="O1379" s="415"/>
      <c r="P1379" s="415"/>
      <c r="Q1379" s="415"/>
    </row>
    <row r="1380" spans="14:17" ht="12.75">
      <c r="N1380" s="415"/>
      <c r="O1380" s="415"/>
      <c r="P1380" s="415"/>
      <c r="Q1380" s="415"/>
    </row>
    <row r="1381" spans="14:17" ht="12.75">
      <c r="N1381" s="415"/>
      <c r="O1381" s="415"/>
      <c r="P1381" s="415"/>
      <c r="Q1381" s="415"/>
    </row>
    <row r="1382" spans="14:17" ht="12.75">
      <c r="N1382" s="415"/>
      <c r="O1382" s="415"/>
      <c r="P1382" s="415"/>
      <c r="Q1382" s="415"/>
    </row>
    <row r="1383" spans="14:17" ht="12.75">
      <c r="N1383" s="415"/>
      <c r="O1383" s="415"/>
      <c r="P1383" s="415"/>
      <c r="Q1383" s="415"/>
    </row>
    <row r="1384" spans="14:17" ht="12.75">
      <c r="N1384" s="415"/>
      <c r="O1384" s="415"/>
      <c r="P1384" s="415"/>
      <c r="Q1384" s="415"/>
    </row>
    <row r="1385" spans="14:17" ht="12.75">
      <c r="N1385" s="415"/>
      <c r="O1385" s="415"/>
      <c r="P1385" s="415"/>
      <c r="Q1385" s="415"/>
    </row>
    <row r="1386" spans="14:17" ht="12.75">
      <c r="N1386" s="415"/>
      <c r="O1386" s="415"/>
      <c r="P1386" s="415"/>
      <c r="Q1386" s="415"/>
    </row>
    <row r="1387" spans="14:17" ht="12.75">
      <c r="N1387" s="415"/>
      <c r="O1387" s="415"/>
      <c r="P1387" s="415"/>
      <c r="Q1387" s="415"/>
    </row>
    <row r="1388" spans="14:17" ht="12.75">
      <c r="N1388" s="415"/>
      <c r="O1388" s="415"/>
      <c r="P1388" s="415"/>
      <c r="Q1388" s="415"/>
    </row>
    <row r="1389" spans="14:17" ht="12.75">
      <c r="N1389" s="415"/>
      <c r="O1389" s="415"/>
      <c r="P1389" s="415"/>
      <c r="Q1389" s="415"/>
    </row>
    <row r="1390" spans="14:17" ht="12.75">
      <c r="N1390" s="415"/>
      <c r="O1390" s="415"/>
      <c r="P1390" s="415"/>
      <c r="Q1390" s="415"/>
    </row>
    <row r="1391" spans="14:17" ht="12.75">
      <c r="N1391" s="415"/>
      <c r="O1391" s="415"/>
      <c r="P1391" s="415"/>
      <c r="Q1391" s="415"/>
    </row>
    <row r="1392" spans="14:17" ht="12.75">
      <c r="N1392" s="415"/>
      <c r="O1392" s="415"/>
      <c r="P1392" s="415"/>
      <c r="Q1392" s="415"/>
    </row>
    <row r="1393" spans="14:17" ht="12.75">
      <c r="N1393" s="415"/>
      <c r="O1393" s="415"/>
      <c r="P1393" s="415"/>
      <c r="Q1393" s="415"/>
    </row>
    <row r="1394" spans="14:17" ht="12.75">
      <c r="N1394" s="415"/>
      <c r="O1394" s="415"/>
      <c r="P1394" s="415"/>
      <c r="Q1394" s="415"/>
    </row>
    <row r="1395" spans="14:17" ht="12.75">
      <c r="N1395" s="415"/>
      <c r="O1395" s="415"/>
      <c r="P1395" s="415"/>
      <c r="Q1395" s="415"/>
    </row>
    <row r="1396" spans="14:17" ht="12.75">
      <c r="N1396" s="415"/>
      <c r="O1396" s="415"/>
      <c r="P1396" s="415"/>
      <c r="Q1396" s="415"/>
    </row>
    <row r="1397" spans="14:17" ht="12.75">
      <c r="N1397" s="415"/>
      <c r="O1397" s="415"/>
      <c r="P1397" s="415"/>
      <c r="Q1397" s="415"/>
    </row>
    <row r="1398" spans="14:17" ht="12.75">
      <c r="N1398" s="415"/>
      <c r="O1398" s="415"/>
      <c r="P1398" s="415"/>
      <c r="Q1398" s="415"/>
    </row>
    <row r="1399" spans="14:17" ht="12.75">
      <c r="N1399" s="415"/>
      <c r="O1399" s="415"/>
      <c r="P1399" s="415"/>
      <c r="Q1399" s="415"/>
    </row>
    <row r="1400" spans="14:17" ht="12.75">
      <c r="N1400" s="415"/>
      <c r="O1400" s="415"/>
      <c r="P1400" s="415"/>
      <c r="Q1400" s="415"/>
    </row>
    <row r="1401" spans="14:17" ht="12.75">
      <c r="N1401" s="415"/>
      <c r="O1401" s="415"/>
      <c r="P1401" s="415"/>
      <c r="Q1401" s="415"/>
    </row>
    <row r="1402" spans="14:17" ht="12.75">
      <c r="N1402" s="415"/>
      <c r="O1402" s="415"/>
      <c r="P1402" s="415"/>
      <c r="Q1402" s="415"/>
    </row>
    <row r="1403" spans="14:17" ht="12.75">
      <c r="N1403" s="415"/>
      <c r="O1403" s="415"/>
      <c r="P1403" s="415"/>
      <c r="Q1403" s="415"/>
    </row>
    <row r="1404" spans="14:17" ht="12.75">
      <c r="N1404" s="415"/>
      <c r="O1404" s="415"/>
      <c r="P1404" s="415"/>
      <c r="Q1404" s="415"/>
    </row>
    <row r="1405" spans="14:17" ht="12.75">
      <c r="N1405" s="415"/>
      <c r="O1405" s="415"/>
      <c r="P1405" s="415"/>
      <c r="Q1405" s="415"/>
    </row>
    <row r="1406" spans="14:17" ht="12.75">
      <c r="N1406" s="415"/>
      <c r="O1406" s="415"/>
      <c r="P1406" s="415"/>
      <c r="Q1406" s="415"/>
    </row>
    <row r="1407" spans="14:17" ht="12.75">
      <c r="N1407" s="415"/>
      <c r="O1407" s="415"/>
      <c r="P1407" s="415"/>
      <c r="Q1407" s="415"/>
    </row>
    <row r="1408" spans="14:17" ht="12.75">
      <c r="N1408" s="415"/>
      <c r="O1408" s="415"/>
      <c r="P1408" s="415"/>
      <c r="Q1408" s="415"/>
    </row>
    <row r="1409" spans="14:17" ht="12.75">
      <c r="N1409" s="415"/>
      <c r="O1409" s="415"/>
      <c r="P1409" s="415"/>
      <c r="Q1409" s="415"/>
    </row>
    <row r="1410" spans="14:17" ht="12.75">
      <c r="N1410" s="415"/>
      <c r="O1410" s="415"/>
      <c r="P1410" s="415"/>
      <c r="Q1410" s="415"/>
    </row>
    <row r="1411" spans="14:17" ht="12.75">
      <c r="N1411" s="415"/>
      <c r="O1411" s="415"/>
      <c r="P1411" s="415"/>
      <c r="Q1411" s="415"/>
    </row>
    <row r="1412" spans="14:17" ht="12.75">
      <c r="N1412" s="415"/>
      <c r="O1412" s="415"/>
      <c r="P1412" s="415"/>
      <c r="Q1412" s="415"/>
    </row>
    <row r="1413" spans="14:17" ht="12.75">
      <c r="N1413" s="415"/>
      <c r="O1413" s="415"/>
      <c r="P1413" s="415"/>
      <c r="Q1413" s="415"/>
    </row>
    <row r="1414" spans="14:17" ht="12.75">
      <c r="N1414" s="415"/>
      <c r="O1414" s="415"/>
      <c r="P1414" s="415"/>
      <c r="Q1414" s="415"/>
    </row>
    <row r="1415" spans="14:17" ht="12.75">
      <c r="N1415" s="415"/>
      <c r="O1415" s="415"/>
      <c r="P1415" s="415"/>
      <c r="Q1415" s="415"/>
    </row>
    <row r="1416" spans="14:17" ht="12.75">
      <c r="N1416" s="415"/>
      <c r="O1416" s="415"/>
      <c r="P1416" s="415"/>
      <c r="Q1416" s="415"/>
    </row>
    <row r="1417" spans="14:17" ht="12.75">
      <c r="N1417" s="415"/>
      <c r="O1417" s="415"/>
      <c r="P1417" s="415"/>
      <c r="Q1417" s="415"/>
    </row>
    <row r="1418" spans="14:17" ht="12.75">
      <c r="N1418" s="415"/>
      <c r="O1418" s="415"/>
      <c r="P1418" s="415"/>
      <c r="Q1418" s="415"/>
    </row>
    <row r="1419" spans="14:17" ht="12.75">
      <c r="N1419" s="415"/>
      <c r="O1419" s="415"/>
      <c r="P1419" s="415"/>
      <c r="Q1419" s="415"/>
    </row>
    <row r="1420" spans="14:17" ht="12.75">
      <c r="N1420" s="415"/>
      <c r="O1420" s="415"/>
      <c r="P1420" s="415"/>
      <c r="Q1420" s="415"/>
    </row>
    <row r="1421" spans="14:17" ht="12.75">
      <c r="N1421" s="415"/>
      <c r="O1421" s="415"/>
      <c r="P1421" s="415"/>
      <c r="Q1421" s="415"/>
    </row>
    <row r="1422" spans="14:17" ht="12.75">
      <c r="N1422" s="415"/>
      <c r="O1422" s="415"/>
      <c r="P1422" s="415"/>
      <c r="Q1422" s="415"/>
    </row>
    <row r="1423" spans="14:17" ht="12.75">
      <c r="N1423" s="415"/>
      <c r="O1423" s="415"/>
      <c r="P1423" s="415"/>
      <c r="Q1423" s="415"/>
    </row>
    <row r="1424" spans="14:17" ht="12.75">
      <c r="N1424" s="415"/>
      <c r="O1424" s="415"/>
      <c r="P1424" s="415"/>
      <c r="Q1424" s="415"/>
    </row>
    <row r="1425" spans="14:17" ht="12.75">
      <c r="N1425" s="415"/>
      <c r="O1425" s="415"/>
      <c r="P1425" s="415"/>
      <c r="Q1425" s="415"/>
    </row>
    <row r="1426" spans="14:17" ht="12.75">
      <c r="N1426" s="415"/>
      <c r="O1426" s="415"/>
      <c r="P1426" s="415"/>
      <c r="Q1426" s="415"/>
    </row>
    <row r="1427" spans="14:17" ht="12.75">
      <c r="N1427" s="415"/>
      <c r="O1427" s="415"/>
      <c r="P1427" s="415"/>
      <c r="Q1427" s="415"/>
    </row>
    <row r="1428" spans="14:17" ht="12.75">
      <c r="N1428" s="415"/>
      <c r="O1428" s="415"/>
      <c r="P1428" s="415"/>
      <c r="Q1428" s="415"/>
    </row>
    <row r="1429" spans="14:17" ht="12.75">
      <c r="N1429" s="415"/>
      <c r="O1429" s="415"/>
      <c r="P1429" s="415"/>
      <c r="Q1429" s="415"/>
    </row>
    <row r="1430" spans="14:17" ht="12.75">
      <c r="N1430" s="415"/>
      <c r="O1430" s="415"/>
      <c r="P1430" s="415"/>
      <c r="Q1430" s="415"/>
    </row>
    <row r="1431" spans="14:17" ht="12.75">
      <c r="N1431" s="415"/>
      <c r="O1431" s="415"/>
      <c r="P1431" s="415"/>
      <c r="Q1431" s="415"/>
    </row>
    <row r="1432" spans="14:17" ht="12.75">
      <c r="N1432" s="415"/>
      <c r="O1432" s="415"/>
      <c r="P1432" s="415"/>
      <c r="Q1432" s="415"/>
    </row>
    <row r="1433" spans="14:17" ht="12.75">
      <c r="N1433" s="415"/>
      <c r="O1433" s="415"/>
      <c r="P1433" s="415"/>
      <c r="Q1433" s="415"/>
    </row>
    <row r="1434" spans="14:17" ht="12.75">
      <c r="N1434" s="415"/>
      <c r="O1434" s="415"/>
      <c r="P1434" s="415"/>
      <c r="Q1434" s="415"/>
    </row>
    <row r="1435" spans="14:17" ht="12.75">
      <c r="N1435" s="415"/>
      <c r="O1435" s="415"/>
      <c r="P1435" s="415"/>
      <c r="Q1435" s="415"/>
    </row>
    <row r="1436" spans="14:17" ht="12.75">
      <c r="N1436" s="415"/>
      <c r="O1436" s="415"/>
      <c r="P1436" s="415"/>
      <c r="Q1436" s="415"/>
    </row>
    <row r="1437" spans="14:17" ht="12.75">
      <c r="N1437" s="415"/>
      <c r="O1437" s="415"/>
      <c r="P1437" s="415"/>
      <c r="Q1437" s="415"/>
    </row>
    <row r="1438" spans="14:17" ht="12.75">
      <c r="N1438" s="415"/>
      <c r="O1438" s="415"/>
      <c r="P1438" s="415"/>
      <c r="Q1438" s="415"/>
    </row>
    <row r="1439" spans="14:17" ht="12.75">
      <c r="N1439" s="415"/>
      <c r="O1439" s="415"/>
      <c r="P1439" s="415"/>
      <c r="Q1439" s="415"/>
    </row>
    <row r="1440" spans="14:17" ht="12.75">
      <c r="N1440" s="415"/>
      <c r="O1440" s="415"/>
      <c r="P1440" s="415"/>
      <c r="Q1440" s="415"/>
    </row>
    <row r="1441" spans="14:17" ht="12.75">
      <c r="N1441" s="415"/>
      <c r="O1441" s="415"/>
      <c r="P1441" s="415"/>
      <c r="Q1441" s="415"/>
    </row>
    <row r="1442" spans="14:17" ht="12.75">
      <c r="N1442" s="415"/>
      <c r="O1442" s="415"/>
      <c r="P1442" s="415"/>
      <c r="Q1442" s="415"/>
    </row>
    <row r="1443" spans="14:17" ht="12.75">
      <c r="N1443" s="415"/>
      <c r="O1443" s="415"/>
      <c r="P1443" s="415"/>
      <c r="Q1443" s="415"/>
    </row>
    <row r="1444" spans="14:17" ht="12.75">
      <c r="N1444" s="415"/>
      <c r="O1444" s="415"/>
      <c r="P1444" s="415"/>
      <c r="Q1444" s="415"/>
    </row>
    <row r="1445" spans="14:17" ht="12.75">
      <c r="N1445" s="415"/>
      <c r="O1445" s="415"/>
      <c r="P1445" s="415"/>
      <c r="Q1445" s="415"/>
    </row>
    <row r="1446" spans="14:17" ht="12.75">
      <c r="N1446" s="415"/>
      <c r="O1446" s="415"/>
      <c r="P1446" s="415"/>
      <c r="Q1446" s="415"/>
    </row>
    <row r="1447" spans="14:17" ht="12.75">
      <c r="N1447" s="415"/>
      <c r="O1447" s="415"/>
      <c r="P1447" s="415"/>
      <c r="Q1447" s="415"/>
    </row>
    <row r="1448" spans="14:17" ht="12.75">
      <c r="N1448" s="415"/>
      <c r="O1448" s="415"/>
      <c r="P1448" s="415"/>
      <c r="Q1448" s="415"/>
    </row>
    <row r="1449" spans="14:17" ht="12.75">
      <c r="N1449" s="415"/>
      <c r="O1449" s="415"/>
      <c r="P1449" s="415"/>
      <c r="Q1449" s="415"/>
    </row>
    <row r="1450" spans="14:17" ht="12.75">
      <c r="N1450" s="415"/>
      <c r="O1450" s="415"/>
      <c r="P1450" s="415"/>
      <c r="Q1450" s="415"/>
    </row>
    <row r="1451" spans="14:17" ht="12.75">
      <c r="N1451" s="415"/>
      <c r="O1451" s="415"/>
      <c r="P1451" s="415"/>
      <c r="Q1451" s="415"/>
    </row>
    <row r="1452" spans="14:17" ht="12.75">
      <c r="N1452" s="415"/>
      <c r="O1452" s="415"/>
      <c r="P1452" s="415"/>
      <c r="Q1452" s="415"/>
    </row>
    <row r="1453" spans="14:17" ht="12.75">
      <c r="N1453" s="415"/>
      <c r="O1453" s="415"/>
      <c r="P1453" s="415"/>
      <c r="Q1453" s="415"/>
    </row>
    <row r="1454" spans="14:17" ht="12.75">
      <c r="N1454" s="415"/>
      <c r="O1454" s="415"/>
      <c r="P1454" s="415"/>
      <c r="Q1454" s="415"/>
    </row>
    <row r="1455" spans="14:17" ht="12.75">
      <c r="N1455" s="415"/>
      <c r="O1455" s="415"/>
      <c r="P1455" s="415"/>
      <c r="Q1455" s="415"/>
    </row>
    <row r="1456" spans="14:17" ht="12.75">
      <c r="N1456" s="415"/>
      <c r="O1456" s="415"/>
      <c r="P1456" s="415"/>
      <c r="Q1456" s="415"/>
    </row>
    <row r="1457" spans="14:17" ht="12.75">
      <c r="N1457" s="415"/>
      <c r="O1457" s="415"/>
      <c r="P1457" s="415"/>
      <c r="Q1457" s="415"/>
    </row>
    <row r="1458" spans="14:17" ht="12.75">
      <c r="N1458" s="415"/>
      <c r="O1458" s="415"/>
      <c r="P1458" s="415"/>
      <c r="Q1458" s="415"/>
    </row>
    <row r="1459" spans="14:17" ht="12.75">
      <c r="N1459" s="415"/>
      <c r="O1459" s="415"/>
      <c r="P1459" s="415"/>
      <c r="Q1459" s="415"/>
    </row>
    <row r="1460" spans="14:17" ht="12.75">
      <c r="N1460" s="415"/>
      <c r="O1460" s="415"/>
      <c r="P1460" s="415"/>
      <c r="Q1460" s="415"/>
    </row>
    <row r="1461" spans="14:17" ht="12.75">
      <c r="N1461" s="415"/>
      <c r="O1461" s="415"/>
      <c r="P1461" s="415"/>
      <c r="Q1461" s="415"/>
    </row>
    <row r="1462" spans="14:17" ht="12.75">
      <c r="N1462" s="415"/>
      <c r="O1462" s="415"/>
      <c r="P1462" s="415"/>
      <c r="Q1462" s="415"/>
    </row>
    <row r="1463" spans="14:17" ht="12.75">
      <c r="N1463" s="415"/>
      <c r="O1463" s="415"/>
      <c r="P1463" s="415"/>
      <c r="Q1463" s="415"/>
    </row>
    <row r="1464" spans="14:17" ht="12.75">
      <c r="N1464" s="415"/>
      <c r="O1464" s="415"/>
      <c r="P1464" s="415"/>
      <c r="Q1464" s="415"/>
    </row>
    <row r="1465" spans="14:17" ht="12.75">
      <c r="N1465" s="415"/>
      <c r="O1465" s="415"/>
      <c r="P1465" s="415"/>
      <c r="Q1465" s="415"/>
    </row>
    <row r="1466" spans="14:17" ht="12.75">
      <c r="N1466" s="415"/>
      <c r="O1466" s="415"/>
      <c r="P1466" s="415"/>
      <c r="Q1466" s="415"/>
    </row>
    <row r="1467" spans="14:17" ht="12.75">
      <c r="N1467" s="415"/>
      <c r="O1467" s="415"/>
      <c r="P1467" s="415"/>
      <c r="Q1467" s="415"/>
    </row>
    <row r="1468" spans="14:17" ht="12.75">
      <c r="N1468" s="415"/>
      <c r="O1468" s="415"/>
      <c r="P1468" s="415"/>
      <c r="Q1468" s="415"/>
    </row>
    <row r="1469" spans="14:17" ht="12.75">
      <c r="N1469" s="415"/>
      <c r="O1469" s="415"/>
      <c r="P1469" s="415"/>
      <c r="Q1469" s="415"/>
    </row>
    <row r="1470" spans="14:17" ht="12.75">
      <c r="N1470" s="415"/>
      <c r="O1470" s="415"/>
      <c r="P1470" s="415"/>
      <c r="Q1470" s="415"/>
    </row>
    <row r="1471" spans="14:17" ht="12.75">
      <c r="N1471" s="415"/>
      <c r="O1471" s="415"/>
      <c r="P1471" s="415"/>
      <c r="Q1471" s="415"/>
    </row>
    <row r="1472" spans="14:17" ht="12.75">
      <c r="N1472" s="415"/>
      <c r="O1472" s="415"/>
      <c r="P1472" s="415"/>
      <c r="Q1472" s="415"/>
    </row>
    <row r="1473" spans="14:17" ht="12.75">
      <c r="N1473" s="415"/>
      <c r="O1473" s="415"/>
      <c r="P1473" s="415"/>
      <c r="Q1473" s="415"/>
    </row>
    <row r="1474" spans="14:17" ht="12.75">
      <c r="N1474" s="415"/>
      <c r="O1474" s="415"/>
      <c r="P1474" s="415"/>
      <c r="Q1474" s="415"/>
    </row>
    <row r="1475" spans="14:17" ht="12.75">
      <c r="N1475" s="415"/>
      <c r="O1475" s="415"/>
      <c r="P1475" s="415"/>
      <c r="Q1475" s="415"/>
    </row>
    <row r="1476" spans="14:17" ht="12.75">
      <c r="N1476" s="415"/>
      <c r="O1476" s="415"/>
      <c r="P1476" s="415"/>
      <c r="Q1476" s="415"/>
    </row>
    <row r="1477" spans="14:17" ht="12.75">
      <c r="N1477" s="415"/>
      <c r="O1477" s="415"/>
      <c r="P1477" s="415"/>
      <c r="Q1477" s="415"/>
    </row>
    <row r="1478" spans="14:17" ht="12.75">
      <c r="N1478" s="415"/>
      <c r="O1478" s="415"/>
      <c r="P1478" s="415"/>
      <c r="Q1478" s="415"/>
    </row>
    <row r="1479" spans="14:17" ht="12.75">
      <c r="N1479" s="415"/>
      <c r="O1479" s="415"/>
      <c r="P1479" s="415"/>
      <c r="Q1479" s="415"/>
    </row>
    <row r="1480" spans="14:17" ht="12.75">
      <c r="N1480" s="415"/>
      <c r="O1480" s="415"/>
      <c r="P1480" s="415"/>
      <c r="Q1480" s="415"/>
    </row>
    <row r="1481" spans="14:17" ht="12.75">
      <c r="N1481" s="415"/>
      <c r="O1481" s="415"/>
      <c r="P1481" s="415"/>
      <c r="Q1481" s="415"/>
    </row>
    <row r="1482" spans="14:17" ht="12.75">
      <c r="N1482" s="415"/>
      <c r="O1482" s="415"/>
      <c r="P1482" s="415"/>
      <c r="Q1482" s="415"/>
    </row>
    <row r="1483" spans="14:17" ht="12.75">
      <c r="N1483" s="415"/>
      <c r="O1483" s="415"/>
      <c r="P1483" s="415"/>
      <c r="Q1483" s="415"/>
    </row>
    <row r="1484" spans="14:17" ht="12.75">
      <c r="N1484" s="415"/>
      <c r="O1484" s="415"/>
      <c r="P1484" s="415"/>
      <c r="Q1484" s="415"/>
    </row>
    <row r="1485" spans="14:17" ht="12.75">
      <c r="N1485" s="415"/>
      <c r="O1485" s="415"/>
      <c r="P1485" s="415"/>
      <c r="Q1485" s="415"/>
    </row>
    <row r="1486" spans="14:17" ht="12.75">
      <c r="N1486" s="415"/>
      <c r="O1486" s="415"/>
      <c r="P1486" s="415"/>
      <c r="Q1486" s="415"/>
    </row>
    <row r="1487" spans="14:17" ht="12.75">
      <c r="N1487" s="415"/>
      <c r="O1487" s="415"/>
      <c r="P1487" s="415"/>
      <c r="Q1487" s="415"/>
    </row>
    <row r="1488" spans="14:17" ht="12.75">
      <c r="N1488" s="415"/>
      <c r="O1488" s="415"/>
      <c r="P1488" s="415"/>
      <c r="Q1488" s="415"/>
    </row>
    <row r="1489" spans="14:17" ht="12.75">
      <c r="N1489" s="415"/>
      <c r="O1489" s="415"/>
      <c r="P1489" s="415"/>
      <c r="Q1489" s="415"/>
    </row>
    <row r="1490" spans="14:17" ht="12.75">
      <c r="N1490" s="415"/>
      <c r="O1490" s="415"/>
      <c r="P1490" s="415"/>
      <c r="Q1490" s="415"/>
    </row>
    <row r="1491" spans="14:17" ht="12.75">
      <c r="N1491" s="415"/>
      <c r="O1491" s="415"/>
      <c r="P1491" s="415"/>
      <c r="Q1491" s="415"/>
    </row>
    <row r="1492" spans="14:17" ht="12.75">
      <c r="N1492" s="415"/>
      <c r="O1492" s="415"/>
      <c r="P1492" s="415"/>
      <c r="Q1492" s="415"/>
    </row>
    <row r="1493" spans="14:17" ht="12.75">
      <c r="N1493" s="415"/>
      <c r="O1493" s="415"/>
      <c r="P1493" s="415"/>
      <c r="Q1493" s="415"/>
    </row>
    <row r="1494" spans="14:17" ht="12.75">
      <c r="N1494" s="415"/>
      <c r="O1494" s="415"/>
      <c r="P1494" s="415"/>
      <c r="Q1494" s="415"/>
    </row>
    <row r="1495" spans="14:17" ht="12.75">
      <c r="N1495" s="415"/>
      <c r="O1495" s="415"/>
      <c r="P1495" s="415"/>
      <c r="Q1495" s="415"/>
    </row>
    <row r="1496" spans="14:17" ht="12.75">
      <c r="N1496" s="415"/>
      <c r="O1496" s="415"/>
      <c r="P1496" s="415"/>
      <c r="Q1496" s="415"/>
    </row>
    <row r="1497" spans="14:17" ht="12.75">
      <c r="N1497" s="415"/>
      <c r="O1497" s="415"/>
      <c r="P1497" s="415"/>
      <c r="Q1497" s="415"/>
    </row>
    <row r="1498" spans="14:17" ht="12.75">
      <c r="N1498" s="415"/>
      <c r="O1498" s="415"/>
      <c r="P1498" s="415"/>
      <c r="Q1498" s="415"/>
    </row>
    <row r="1499" spans="14:17" ht="12.75">
      <c r="N1499" s="415"/>
      <c r="O1499" s="415"/>
      <c r="P1499" s="415"/>
      <c r="Q1499" s="415"/>
    </row>
    <row r="1500" spans="14:17" ht="12.75">
      <c r="N1500" s="415"/>
      <c r="O1500" s="415"/>
      <c r="P1500" s="415"/>
      <c r="Q1500" s="415"/>
    </row>
    <row r="1501" spans="14:17" ht="12.75">
      <c r="N1501" s="415"/>
      <c r="O1501" s="415"/>
      <c r="P1501" s="415"/>
      <c r="Q1501" s="415"/>
    </row>
    <row r="1502" spans="14:17" ht="12.75">
      <c r="N1502" s="415"/>
      <c r="O1502" s="415"/>
      <c r="P1502" s="415"/>
      <c r="Q1502" s="415"/>
    </row>
    <row r="1503" spans="14:17" ht="12.75">
      <c r="N1503" s="415"/>
      <c r="O1503" s="415"/>
      <c r="P1503" s="415"/>
      <c r="Q1503" s="415"/>
    </row>
    <row r="1504" spans="14:17" ht="12.75">
      <c r="N1504" s="415"/>
      <c r="O1504" s="415"/>
      <c r="P1504" s="415"/>
      <c r="Q1504" s="415"/>
    </row>
    <row r="1505" spans="14:17" ht="12.75">
      <c r="N1505" s="415"/>
      <c r="O1505" s="415"/>
      <c r="P1505" s="415"/>
      <c r="Q1505" s="415"/>
    </row>
    <row r="1506" spans="14:17" ht="12.75">
      <c r="N1506" s="415"/>
      <c r="O1506" s="415"/>
      <c r="P1506" s="415"/>
      <c r="Q1506" s="415"/>
    </row>
    <row r="1507" spans="14:17" ht="12.75">
      <c r="N1507" s="415"/>
      <c r="O1507" s="415"/>
      <c r="P1507" s="415"/>
      <c r="Q1507" s="415"/>
    </row>
    <row r="1508" spans="14:17" ht="12.75">
      <c r="N1508" s="415"/>
      <c r="O1508" s="415"/>
      <c r="P1508" s="415"/>
      <c r="Q1508" s="415"/>
    </row>
    <row r="1509" spans="14:17" ht="12.75">
      <c r="N1509" s="415"/>
      <c r="O1509" s="415"/>
      <c r="P1509" s="415"/>
      <c r="Q1509" s="415"/>
    </row>
    <row r="1510" spans="14:17" ht="12.75">
      <c r="N1510" s="415"/>
      <c r="O1510" s="415"/>
      <c r="P1510" s="415"/>
      <c r="Q1510" s="415"/>
    </row>
    <row r="1511" spans="14:17" ht="12.75">
      <c r="N1511" s="415"/>
      <c r="O1511" s="415"/>
      <c r="P1511" s="415"/>
      <c r="Q1511" s="415"/>
    </row>
    <row r="1512" spans="14:17" ht="12.75">
      <c r="N1512" s="415"/>
      <c r="O1512" s="415"/>
      <c r="P1512" s="415"/>
      <c r="Q1512" s="415"/>
    </row>
    <row r="1513" spans="14:17" ht="12.75">
      <c r="N1513" s="415"/>
      <c r="O1513" s="415"/>
      <c r="P1513" s="415"/>
      <c r="Q1513" s="415"/>
    </row>
    <row r="1514" spans="14:17" ht="12.75">
      <c r="N1514" s="415"/>
      <c r="O1514" s="415"/>
      <c r="P1514" s="415"/>
      <c r="Q1514" s="415"/>
    </row>
    <row r="1515" spans="14:17" ht="12.75">
      <c r="N1515" s="415"/>
      <c r="O1515" s="415"/>
      <c r="P1515" s="415"/>
      <c r="Q1515" s="415"/>
    </row>
    <row r="1516" spans="14:17" ht="12.75">
      <c r="N1516" s="415"/>
      <c r="O1516" s="415"/>
      <c r="P1516" s="415"/>
      <c r="Q1516" s="415"/>
    </row>
    <row r="1517" spans="14:17" ht="12.75">
      <c r="N1517" s="415"/>
      <c r="O1517" s="415"/>
      <c r="P1517" s="415"/>
      <c r="Q1517" s="415"/>
    </row>
    <row r="1518" spans="14:17" ht="12.75">
      <c r="N1518" s="415"/>
      <c r="O1518" s="415"/>
      <c r="P1518" s="415"/>
      <c r="Q1518" s="415"/>
    </row>
    <row r="1519" spans="14:17" ht="12.75">
      <c r="N1519" s="415"/>
      <c r="O1519" s="415"/>
      <c r="P1519" s="415"/>
      <c r="Q1519" s="415"/>
    </row>
    <row r="1520" spans="14:17" ht="12.75">
      <c r="N1520" s="415"/>
      <c r="O1520" s="415"/>
      <c r="P1520" s="415"/>
      <c r="Q1520" s="415"/>
    </row>
    <row r="1521" spans="14:17" ht="12.75">
      <c r="N1521" s="415"/>
      <c r="O1521" s="415"/>
      <c r="P1521" s="415"/>
      <c r="Q1521" s="415"/>
    </row>
    <row r="1522" spans="14:17" ht="12.75">
      <c r="N1522" s="415"/>
      <c r="O1522" s="415"/>
      <c r="P1522" s="415"/>
      <c r="Q1522" s="415"/>
    </row>
    <row r="1523" spans="14:17" ht="12.75">
      <c r="N1523" s="415"/>
      <c r="O1523" s="415"/>
      <c r="P1523" s="415"/>
      <c r="Q1523" s="415"/>
    </row>
    <row r="1524" spans="14:17" ht="12.75">
      <c r="N1524" s="415"/>
      <c r="O1524" s="415"/>
      <c r="P1524" s="415"/>
      <c r="Q1524" s="415"/>
    </row>
    <row r="1525" spans="14:17" ht="12.75">
      <c r="N1525" s="415"/>
      <c r="O1525" s="415"/>
      <c r="P1525" s="415"/>
      <c r="Q1525" s="415"/>
    </row>
    <row r="1526" spans="14:17" ht="12.75">
      <c r="N1526" s="415"/>
      <c r="O1526" s="415"/>
      <c r="P1526" s="415"/>
      <c r="Q1526" s="415"/>
    </row>
    <row r="1527" spans="14:17" ht="12.75">
      <c r="N1527" s="415"/>
      <c r="O1527" s="415"/>
      <c r="P1527" s="415"/>
      <c r="Q1527" s="415"/>
    </row>
    <row r="1528" spans="14:17" ht="12.75">
      <c r="N1528" s="415"/>
      <c r="O1528" s="415"/>
      <c r="P1528" s="415"/>
      <c r="Q1528" s="415"/>
    </row>
    <row r="1529" spans="14:17" ht="12.75">
      <c r="N1529" s="415"/>
      <c r="O1529" s="415"/>
      <c r="P1529" s="415"/>
      <c r="Q1529" s="415"/>
    </row>
    <row r="1530" spans="14:17" ht="12.75">
      <c r="N1530" s="415"/>
      <c r="O1530" s="415"/>
      <c r="P1530" s="415"/>
      <c r="Q1530" s="415"/>
    </row>
    <row r="1531" spans="14:17" ht="12.75">
      <c r="N1531" s="415"/>
      <c r="O1531" s="415"/>
      <c r="P1531" s="415"/>
      <c r="Q1531" s="415"/>
    </row>
    <row r="1532" spans="14:17" ht="12.75">
      <c r="N1532" s="415"/>
      <c r="O1532" s="415"/>
      <c r="P1532" s="415"/>
      <c r="Q1532" s="415"/>
    </row>
    <row r="1533" spans="14:17" ht="12.75">
      <c r="N1533" s="415"/>
      <c r="O1533" s="415"/>
      <c r="P1533" s="415"/>
      <c r="Q1533" s="415"/>
    </row>
    <row r="1534" spans="14:17" ht="12.75">
      <c r="N1534" s="415"/>
      <c r="O1534" s="415"/>
      <c r="P1534" s="415"/>
      <c r="Q1534" s="415"/>
    </row>
    <row r="1535" spans="14:17" ht="12.75">
      <c r="N1535" s="415"/>
      <c r="O1535" s="415"/>
      <c r="P1535" s="415"/>
      <c r="Q1535" s="415"/>
    </row>
    <row r="1536" spans="14:17" ht="12.75">
      <c r="N1536" s="415"/>
      <c r="O1536" s="415"/>
      <c r="P1536" s="415"/>
      <c r="Q1536" s="415"/>
    </row>
    <row r="1537" spans="14:17" ht="12.75">
      <c r="N1537" s="415"/>
      <c r="O1537" s="415"/>
      <c r="P1537" s="415"/>
      <c r="Q1537" s="415"/>
    </row>
    <row r="1538" spans="14:17" ht="12.75">
      <c r="N1538" s="415"/>
      <c r="O1538" s="415"/>
      <c r="P1538" s="415"/>
      <c r="Q1538" s="415"/>
    </row>
    <row r="1539" spans="14:17" ht="12.75">
      <c r="N1539" s="415"/>
      <c r="O1539" s="415"/>
      <c r="P1539" s="415"/>
      <c r="Q1539" s="415"/>
    </row>
    <row r="1540" spans="14:17" ht="12.75">
      <c r="N1540" s="415"/>
      <c r="O1540" s="415"/>
      <c r="P1540" s="415"/>
      <c r="Q1540" s="415"/>
    </row>
    <row r="1541" spans="14:17" ht="12.75">
      <c r="N1541" s="415"/>
      <c r="O1541" s="415"/>
      <c r="P1541" s="415"/>
      <c r="Q1541" s="415"/>
    </row>
    <row r="1542" spans="14:17" ht="12.75">
      <c r="N1542" s="415"/>
      <c r="O1542" s="415"/>
      <c r="P1542" s="415"/>
      <c r="Q1542" s="415"/>
    </row>
    <row r="1543" spans="14:17" ht="12.75">
      <c r="N1543" s="415"/>
      <c r="O1543" s="415"/>
      <c r="P1543" s="415"/>
      <c r="Q1543" s="415"/>
    </row>
    <row r="1544" spans="14:17" ht="12.75">
      <c r="N1544" s="415"/>
      <c r="O1544" s="415"/>
      <c r="P1544" s="415"/>
      <c r="Q1544" s="415"/>
    </row>
    <row r="1545" spans="14:17" ht="12.75">
      <c r="N1545" s="415"/>
      <c r="O1545" s="415"/>
      <c r="P1545" s="415"/>
      <c r="Q1545" s="415"/>
    </row>
    <row r="1546" spans="14:17" ht="12.75">
      <c r="N1546" s="415"/>
      <c r="O1546" s="415"/>
      <c r="P1546" s="415"/>
      <c r="Q1546" s="415"/>
    </row>
    <row r="1547" spans="14:17" ht="12.75">
      <c r="N1547" s="415"/>
      <c r="O1547" s="415"/>
      <c r="P1547" s="415"/>
      <c r="Q1547" s="415"/>
    </row>
    <row r="1548" spans="14:17" ht="12.75">
      <c r="N1548" s="415"/>
      <c r="O1548" s="415"/>
      <c r="P1548" s="415"/>
      <c r="Q1548" s="415"/>
    </row>
    <row r="1549" spans="14:17" ht="12.75">
      <c r="N1549" s="415"/>
      <c r="O1549" s="415"/>
      <c r="P1549" s="415"/>
      <c r="Q1549" s="415"/>
    </row>
    <row r="1550" spans="14:17" ht="12.75">
      <c r="N1550" s="415"/>
      <c r="O1550" s="415"/>
      <c r="P1550" s="415"/>
      <c r="Q1550" s="415"/>
    </row>
    <row r="1551" spans="14:17" ht="12.75">
      <c r="N1551" s="415"/>
      <c r="O1551" s="415"/>
      <c r="P1551" s="415"/>
      <c r="Q1551" s="415"/>
    </row>
    <row r="1552" spans="14:17" ht="12.75">
      <c r="N1552" s="415"/>
      <c r="O1552" s="415"/>
      <c r="P1552" s="415"/>
      <c r="Q1552" s="415"/>
    </row>
    <row r="1553" spans="14:17" ht="12.75">
      <c r="N1553" s="415"/>
      <c r="O1553" s="415"/>
      <c r="P1553" s="415"/>
      <c r="Q1553" s="415"/>
    </row>
    <row r="1554" spans="14:17" ht="12.75">
      <c r="N1554" s="415"/>
      <c r="O1554" s="415"/>
      <c r="P1554" s="415"/>
      <c r="Q1554" s="415"/>
    </row>
    <row r="1555" spans="14:17" ht="12.75">
      <c r="N1555" s="415"/>
      <c r="O1555" s="415"/>
      <c r="P1555" s="415"/>
      <c r="Q1555" s="415"/>
    </row>
    <row r="1556" spans="14:17" ht="12.75">
      <c r="N1556" s="415"/>
      <c r="O1556" s="415"/>
      <c r="P1556" s="415"/>
      <c r="Q1556" s="415"/>
    </row>
    <row r="1557" spans="14:17" ht="12.75">
      <c r="N1557" s="415"/>
      <c r="O1557" s="415"/>
      <c r="P1557" s="415"/>
      <c r="Q1557" s="415"/>
    </row>
    <row r="1558" spans="14:17" ht="12.75">
      <c r="N1558" s="415"/>
      <c r="O1558" s="415"/>
      <c r="P1558" s="415"/>
      <c r="Q1558" s="415"/>
    </row>
    <row r="1559" spans="14:17" ht="12.75">
      <c r="N1559" s="415"/>
      <c r="O1559" s="415"/>
      <c r="P1559" s="415"/>
      <c r="Q1559" s="415"/>
    </row>
    <row r="1560" spans="14:17" ht="12.75">
      <c r="N1560" s="415"/>
      <c r="O1560" s="415"/>
      <c r="P1560" s="415"/>
      <c r="Q1560" s="415"/>
    </row>
    <row r="1561" spans="14:17" ht="12.75">
      <c r="N1561" s="415"/>
      <c r="O1561" s="415"/>
      <c r="P1561" s="415"/>
      <c r="Q1561" s="415"/>
    </row>
    <row r="1562" spans="14:17" ht="12.75">
      <c r="N1562" s="415"/>
      <c r="O1562" s="415"/>
      <c r="P1562" s="415"/>
      <c r="Q1562" s="415"/>
    </row>
    <row r="1563" spans="14:17" ht="12.75">
      <c r="N1563" s="415"/>
      <c r="O1563" s="415"/>
      <c r="P1563" s="415"/>
      <c r="Q1563" s="415"/>
    </row>
    <row r="1564" spans="14:17" ht="12.75">
      <c r="N1564" s="415"/>
      <c r="O1564" s="415"/>
      <c r="P1564" s="415"/>
      <c r="Q1564" s="415"/>
    </row>
    <row r="1565" spans="14:17" ht="12.75">
      <c r="N1565" s="415"/>
      <c r="O1565" s="415"/>
      <c r="P1565" s="415"/>
      <c r="Q1565" s="415"/>
    </row>
    <row r="1566" spans="14:17" ht="12.75">
      <c r="N1566" s="415"/>
      <c r="O1566" s="415"/>
      <c r="P1566" s="415"/>
      <c r="Q1566" s="415"/>
    </row>
    <row r="1567" spans="14:17" ht="12.75">
      <c r="N1567" s="415"/>
      <c r="O1567" s="415"/>
      <c r="P1567" s="415"/>
      <c r="Q1567" s="415"/>
    </row>
    <row r="1568" spans="14:17" ht="12.75">
      <c r="N1568" s="415"/>
      <c r="O1568" s="415"/>
      <c r="P1568" s="415"/>
      <c r="Q1568" s="415"/>
    </row>
    <row r="1569" spans="14:17" ht="12.75">
      <c r="N1569" s="415"/>
      <c r="O1569" s="415"/>
      <c r="P1569" s="415"/>
      <c r="Q1569" s="415"/>
    </row>
    <row r="1570" spans="14:17" ht="12.75">
      <c r="N1570" s="415"/>
      <c r="O1570" s="415"/>
      <c r="P1570" s="415"/>
      <c r="Q1570" s="415"/>
    </row>
    <row r="1571" spans="14:17" ht="12.75">
      <c r="N1571" s="415"/>
      <c r="O1571" s="415"/>
      <c r="P1571" s="415"/>
      <c r="Q1571" s="415"/>
    </row>
    <row r="1572" spans="14:17" ht="12.75">
      <c r="N1572" s="415"/>
      <c r="O1572" s="415"/>
      <c r="P1572" s="415"/>
      <c r="Q1572" s="415"/>
    </row>
    <row r="1573" spans="14:17" ht="12.75">
      <c r="N1573" s="415"/>
      <c r="O1573" s="415"/>
      <c r="P1573" s="415"/>
      <c r="Q1573" s="415"/>
    </row>
    <row r="1574" spans="14:17" ht="12.75">
      <c r="N1574" s="415"/>
      <c r="O1574" s="415"/>
      <c r="P1574" s="415"/>
      <c r="Q1574" s="415"/>
    </row>
    <row r="1575" spans="14:17" ht="12.75">
      <c r="N1575" s="415"/>
      <c r="O1575" s="415"/>
      <c r="P1575" s="415"/>
      <c r="Q1575" s="415"/>
    </row>
    <row r="1576" spans="14:17" ht="12.75">
      <c r="N1576" s="415"/>
      <c r="O1576" s="415"/>
      <c r="P1576" s="415"/>
      <c r="Q1576" s="415"/>
    </row>
    <row r="1577" spans="14:17" ht="12.75">
      <c r="N1577" s="415"/>
      <c r="O1577" s="415"/>
      <c r="P1577" s="415"/>
      <c r="Q1577" s="415"/>
    </row>
    <row r="1578" spans="14:17" ht="12.75">
      <c r="N1578" s="415"/>
      <c r="O1578" s="415"/>
      <c r="P1578" s="415"/>
      <c r="Q1578" s="415"/>
    </row>
    <row r="1579" spans="14:17" ht="12.75">
      <c r="N1579" s="415"/>
      <c r="O1579" s="415"/>
      <c r="P1579" s="415"/>
      <c r="Q1579" s="415"/>
    </row>
    <row r="1580" spans="14:17" ht="12.75">
      <c r="N1580" s="415"/>
      <c r="O1580" s="415"/>
      <c r="P1580" s="415"/>
      <c r="Q1580" s="415"/>
    </row>
    <row r="1581" spans="14:17" ht="12.75">
      <c r="N1581" s="415"/>
      <c r="O1581" s="415"/>
      <c r="P1581" s="415"/>
      <c r="Q1581" s="415"/>
    </row>
    <row r="1582" spans="14:17" ht="12.75">
      <c r="N1582" s="415"/>
      <c r="O1582" s="415"/>
      <c r="P1582" s="415"/>
      <c r="Q1582" s="415"/>
    </row>
    <row r="1583" spans="14:17" ht="12.75">
      <c r="N1583" s="415"/>
      <c r="O1583" s="415"/>
      <c r="P1583" s="415"/>
      <c r="Q1583" s="415"/>
    </row>
    <row r="1584" spans="14:17" ht="12.75">
      <c r="N1584" s="415"/>
      <c r="O1584" s="415"/>
      <c r="P1584" s="415"/>
      <c r="Q1584" s="415"/>
    </row>
    <row r="1585" spans="14:17" ht="12.75">
      <c r="N1585" s="415"/>
      <c r="O1585" s="415"/>
      <c r="P1585" s="415"/>
      <c r="Q1585" s="415"/>
    </row>
    <row r="1586" spans="14:17" ht="12.75">
      <c r="N1586" s="415"/>
      <c r="O1586" s="415"/>
      <c r="P1586" s="415"/>
      <c r="Q1586" s="415"/>
    </row>
    <row r="1587" spans="14:17" ht="12.75">
      <c r="N1587" s="415"/>
      <c r="O1587" s="415"/>
      <c r="P1587" s="415"/>
      <c r="Q1587" s="415"/>
    </row>
    <row r="1588" spans="14:17" ht="12.75">
      <c r="N1588" s="415"/>
      <c r="O1588" s="415"/>
      <c r="P1588" s="415"/>
      <c r="Q1588" s="415"/>
    </row>
    <row r="1589" spans="14:17" ht="12.75">
      <c r="N1589" s="415"/>
      <c r="O1589" s="415"/>
      <c r="P1589" s="415"/>
      <c r="Q1589" s="415"/>
    </row>
    <row r="1590" spans="14:17" ht="12.75">
      <c r="N1590" s="415"/>
      <c r="O1590" s="415"/>
      <c r="P1590" s="415"/>
      <c r="Q1590" s="415"/>
    </row>
    <row r="1591" spans="14:17" ht="12.75">
      <c r="N1591" s="415"/>
      <c r="O1591" s="415"/>
      <c r="P1591" s="415"/>
      <c r="Q1591" s="415"/>
    </row>
    <row r="1592" spans="14:17" ht="12.75">
      <c r="N1592" s="415"/>
      <c r="O1592" s="415"/>
      <c r="P1592" s="415"/>
      <c r="Q1592" s="415"/>
    </row>
    <row r="1593" spans="14:17" ht="12.75">
      <c r="N1593" s="415"/>
      <c r="O1593" s="415"/>
      <c r="P1593" s="415"/>
      <c r="Q1593" s="415"/>
    </row>
    <row r="1594" spans="14:17" ht="12.75">
      <c r="N1594" s="415"/>
      <c r="O1594" s="415"/>
      <c r="P1594" s="415"/>
      <c r="Q1594" s="415"/>
    </row>
    <row r="1595" spans="14:17" ht="12.75">
      <c r="N1595" s="415"/>
      <c r="O1595" s="415"/>
      <c r="P1595" s="415"/>
      <c r="Q1595" s="415"/>
    </row>
    <row r="1596" spans="14:17" ht="12.75">
      <c r="N1596" s="415"/>
      <c r="O1596" s="415"/>
      <c r="P1596" s="415"/>
      <c r="Q1596" s="415"/>
    </row>
    <row r="1597" spans="14:17" ht="12.75">
      <c r="N1597" s="415"/>
      <c r="O1597" s="415"/>
      <c r="P1597" s="415"/>
      <c r="Q1597" s="415"/>
    </row>
    <row r="1598" spans="14:17" ht="12.75">
      <c r="N1598" s="415"/>
      <c r="O1598" s="415"/>
      <c r="P1598" s="415"/>
      <c r="Q1598" s="415"/>
    </row>
    <row r="1599" spans="14:17" ht="12.75">
      <c r="N1599" s="415"/>
      <c r="O1599" s="415"/>
      <c r="P1599" s="415"/>
      <c r="Q1599" s="415"/>
    </row>
    <row r="1600" spans="14:17" ht="12.75">
      <c r="N1600" s="415"/>
      <c r="O1600" s="415"/>
      <c r="P1600" s="415"/>
      <c r="Q1600" s="415"/>
    </row>
    <row r="1601" spans="14:17" ht="12.75">
      <c r="N1601" s="415"/>
      <c r="O1601" s="415"/>
      <c r="P1601" s="415"/>
      <c r="Q1601" s="415"/>
    </row>
    <row r="1602" spans="14:17" ht="12.75">
      <c r="N1602" s="415"/>
      <c r="O1602" s="415"/>
      <c r="P1602" s="415"/>
      <c r="Q1602" s="415"/>
    </row>
    <row r="1603" spans="14:17" ht="12.75">
      <c r="N1603" s="415"/>
      <c r="O1603" s="415"/>
      <c r="P1603" s="415"/>
      <c r="Q1603" s="415"/>
    </row>
    <row r="1604" spans="14:17" ht="12.75">
      <c r="N1604" s="415"/>
      <c r="O1604" s="415"/>
      <c r="P1604" s="415"/>
      <c r="Q1604" s="415"/>
    </row>
    <row r="1605" spans="14:17" ht="12.75">
      <c r="N1605" s="415"/>
      <c r="O1605" s="415"/>
      <c r="P1605" s="415"/>
      <c r="Q1605" s="415"/>
    </row>
    <row r="1606" spans="14:17" ht="12.75">
      <c r="N1606" s="415"/>
      <c r="O1606" s="415"/>
      <c r="P1606" s="415"/>
      <c r="Q1606" s="415"/>
    </row>
    <row r="1607" spans="14:17" ht="12.75">
      <c r="N1607" s="415"/>
      <c r="O1607" s="415"/>
      <c r="P1607" s="415"/>
      <c r="Q1607" s="415"/>
    </row>
    <row r="1608" spans="14:17" ht="12.75">
      <c r="N1608" s="415"/>
      <c r="O1608" s="415"/>
      <c r="P1608" s="415"/>
      <c r="Q1608" s="415"/>
    </row>
    <row r="1609" spans="14:17" ht="12.75">
      <c r="N1609" s="415"/>
      <c r="O1609" s="415"/>
      <c r="P1609" s="415"/>
      <c r="Q1609" s="415"/>
    </row>
    <row r="1610" spans="14:17" ht="12.75">
      <c r="N1610" s="415"/>
      <c r="O1610" s="415"/>
      <c r="P1610" s="415"/>
      <c r="Q1610" s="415"/>
    </row>
    <row r="1611" spans="14:17" ht="12.75">
      <c r="N1611" s="415"/>
      <c r="O1611" s="415"/>
      <c r="P1611" s="415"/>
      <c r="Q1611" s="415"/>
    </row>
    <row r="1612" spans="14:17" ht="12.75">
      <c r="N1612" s="415"/>
      <c r="O1612" s="415"/>
      <c r="P1612" s="415"/>
      <c r="Q1612" s="415"/>
    </row>
    <row r="1613" spans="14:17" ht="12.75">
      <c r="N1613" s="415"/>
      <c r="O1613" s="415"/>
      <c r="P1613" s="415"/>
      <c r="Q1613" s="415"/>
    </row>
    <row r="1614" spans="14:17" ht="12.75">
      <c r="N1614" s="415"/>
      <c r="O1614" s="415"/>
      <c r="P1614" s="415"/>
      <c r="Q1614" s="415"/>
    </row>
    <row r="1615" spans="14:17" ht="12.75">
      <c r="N1615" s="415"/>
      <c r="O1615" s="415"/>
      <c r="P1615" s="415"/>
      <c r="Q1615" s="415"/>
    </row>
    <row r="1616" spans="14:17" ht="12.75">
      <c r="N1616" s="415"/>
      <c r="O1616" s="415"/>
      <c r="P1616" s="415"/>
      <c r="Q1616" s="415"/>
    </row>
    <row r="1617" spans="14:17" ht="12.75">
      <c r="N1617" s="415"/>
      <c r="O1617" s="415"/>
      <c r="P1617" s="415"/>
      <c r="Q1617" s="415"/>
    </row>
    <row r="1618" spans="14:17" ht="12.75">
      <c r="N1618" s="415"/>
      <c r="O1618" s="415"/>
      <c r="P1618" s="415"/>
      <c r="Q1618" s="415"/>
    </row>
    <row r="1619" spans="14:17" ht="12.75">
      <c r="N1619" s="415"/>
      <c r="O1619" s="415"/>
      <c r="P1619" s="415"/>
      <c r="Q1619" s="415"/>
    </row>
    <row r="1620" spans="14:17" ht="12.75">
      <c r="N1620" s="415"/>
      <c r="O1620" s="415"/>
      <c r="P1620" s="415"/>
      <c r="Q1620" s="415"/>
    </row>
    <row r="1621" spans="14:17" ht="12.75">
      <c r="N1621" s="415"/>
      <c r="O1621" s="415"/>
      <c r="P1621" s="415"/>
      <c r="Q1621" s="415"/>
    </row>
    <row r="1622" spans="14:17" ht="12.75">
      <c r="N1622" s="415"/>
      <c r="O1622" s="415"/>
      <c r="P1622" s="415"/>
      <c r="Q1622" s="415"/>
    </row>
    <row r="1623" spans="14:17" ht="12.75">
      <c r="N1623" s="415"/>
      <c r="O1623" s="415"/>
      <c r="P1623" s="415"/>
      <c r="Q1623" s="415"/>
    </row>
    <row r="1624" spans="14:17" ht="12.75">
      <c r="N1624" s="415"/>
      <c r="O1624" s="415"/>
      <c r="P1624" s="415"/>
      <c r="Q1624" s="415"/>
    </row>
    <row r="1625" spans="14:17" ht="12.75">
      <c r="N1625" s="415"/>
      <c r="O1625" s="415"/>
      <c r="P1625" s="415"/>
      <c r="Q1625" s="415"/>
    </row>
    <row r="1626" spans="14:17" ht="12.75">
      <c r="N1626" s="415"/>
      <c r="O1626" s="415"/>
      <c r="P1626" s="415"/>
      <c r="Q1626" s="415"/>
    </row>
    <row r="1627" spans="14:17" ht="12.75">
      <c r="N1627" s="415"/>
      <c r="O1627" s="415"/>
      <c r="P1627" s="415"/>
      <c r="Q1627" s="415"/>
    </row>
    <row r="1628" spans="14:17" ht="12.75">
      <c r="N1628" s="415"/>
      <c r="O1628" s="415"/>
      <c r="P1628" s="415"/>
      <c r="Q1628" s="415"/>
    </row>
    <row r="1629" spans="14:17" ht="12.75">
      <c r="N1629" s="415"/>
      <c r="O1629" s="415"/>
      <c r="P1629" s="415"/>
      <c r="Q1629" s="415"/>
    </row>
    <row r="1630" spans="14:17" ht="12.75">
      <c r="N1630" s="415"/>
      <c r="O1630" s="415"/>
      <c r="P1630" s="415"/>
      <c r="Q1630" s="415"/>
    </row>
    <row r="1631" spans="14:17" ht="12.75">
      <c r="N1631" s="415"/>
      <c r="O1631" s="415"/>
      <c r="P1631" s="415"/>
      <c r="Q1631" s="415"/>
    </row>
    <row r="1632" spans="14:17" ht="12.75">
      <c r="N1632" s="415"/>
      <c r="O1632" s="415"/>
      <c r="P1632" s="415"/>
      <c r="Q1632" s="415"/>
    </row>
    <row r="1633" spans="14:17" ht="12.75">
      <c r="N1633" s="415"/>
      <c r="O1633" s="415"/>
      <c r="P1633" s="415"/>
      <c r="Q1633" s="415"/>
    </row>
    <row r="1634" spans="14:17" ht="12.75">
      <c r="N1634" s="415"/>
      <c r="O1634" s="415"/>
      <c r="P1634" s="415"/>
      <c r="Q1634" s="415"/>
    </row>
    <row r="1635" spans="14:17" ht="12.75">
      <c r="N1635" s="415"/>
      <c r="O1635" s="415"/>
      <c r="P1635" s="415"/>
      <c r="Q1635" s="415"/>
    </row>
    <row r="1636" spans="14:17" ht="12.75">
      <c r="N1636" s="415"/>
      <c r="O1636" s="415"/>
      <c r="P1636" s="415"/>
      <c r="Q1636" s="415"/>
    </row>
    <row r="1637" spans="14:17" ht="12.75">
      <c r="N1637" s="415"/>
      <c r="O1637" s="415"/>
      <c r="P1637" s="415"/>
      <c r="Q1637" s="415"/>
    </row>
    <row r="1638" spans="14:17" ht="12.75">
      <c r="N1638" s="415"/>
      <c r="O1638" s="415"/>
      <c r="P1638" s="415"/>
      <c r="Q1638" s="415"/>
    </row>
    <row r="1639" spans="14:17" ht="12.75">
      <c r="N1639" s="415"/>
      <c r="O1639" s="415"/>
      <c r="P1639" s="415"/>
      <c r="Q1639" s="415"/>
    </row>
    <row r="1640" spans="14:17" ht="12.75">
      <c r="N1640" s="415"/>
      <c r="O1640" s="415"/>
      <c r="P1640" s="415"/>
      <c r="Q1640" s="415"/>
    </row>
    <row r="1641" spans="14:17" ht="12.75">
      <c r="N1641" s="415"/>
      <c r="O1641" s="415"/>
      <c r="P1641" s="415"/>
      <c r="Q1641" s="415"/>
    </row>
    <row r="1642" spans="14:17" ht="12.75">
      <c r="N1642" s="415"/>
      <c r="O1642" s="415"/>
      <c r="P1642" s="415"/>
      <c r="Q1642" s="415"/>
    </row>
    <row r="1643" spans="14:17" ht="12.75">
      <c r="N1643" s="415"/>
      <c r="O1643" s="415"/>
      <c r="P1643" s="415"/>
      <c r="Q1643" s="415"/>
    </row>
    <row r="1644" spans="14:17" ht="12.75">
      <c r="N1644" s="415"/>
      <c r="O1644" s="415"/>
      <c r="P1644" s="415"/>
      <c r="Q1644" s="415"/>
    </row>
    <row r="1645" spans="14:17" ht="12.75">
      <c r="N1645" s="415"/>
      <c r="O1645" s="415"/>
      <c r="P1645" s="415"/>
      <c r="Q1645" s="415"/>
    </row>
    <row r="1646" spans="14:17" ht="12.75">
      <c r="N1646" s="415"/>
      <c r="O1646" s="415"/>
      <c r="P1646" s="415"/>
      <c r="Q1646" s="415"/>
    </row>
    <row r="1647" spans="14:17" ht="12.75">
      <c r="N1647" s="415"/>
      <c r="O1647" s="415"/>
      <c r="P1647" s="415"/>
      <c r="Q1647" s="415"/>
    </row>
    <row r="1648" spans="14:17" ht="12.75">
      <c r="N1648" s="415"/>
      <c r="O1648" s="415"/>
      <c r="P1648" s="415"/>
      <c r="Q1648" s="415"/>
    </row>
    <row r="1649" spans="14:17" ht="12.75">
      <c r="N1649" s="415"/>
      <c r="O1649" s="415"/>
      <c r="P1649" s="415"/>
      <c r="Q1649" s="415"/>
    </row>
    <row r="1650" spans="14:17" ht="12.75">
      <c r="N1650" s="415"/>
      <c r="O1650" s="415"/>
      <c r="P1650" s="415"/>
      <c r="Q1650" s="415"/>
    </row>
    <row r="1651" spans="14:17" ht="12.75">
      <c r="N1651" s="415"/>
      <c r="O1651" s="415"/>
      <c r="P1651" s="415"/>
      <c r="Q1651" s="415"/>
    </row>
    <row r="1652" spans="14:17" ht="12.75">
      <c r="N1652" s="415"/>
      <c r="O1652" s="415"/>
      <c r="P1652" s="415"/>
      <c r="Q1652" s="415"/>
    </row>
    <row r="1653" spans="14:17" ht="12.75">
      <c r="N1653" s="415"/>
      <c r="O1653" s="415"/>
      <c r="P1653" s="415"/>
      <c r="Q1653" s="415"/>
    </row>
    <row r="1654" spans="14:17" ht="12.75">
      <c r="N1654" s="415"/>
      <c r="O1654" s="415"/>
      <c r="P1654" s="415"/>
      <c r="Q1654" s="415"/>
    </row>
    <row r="1655" spans="14:17" ht="12.75">
      <c r="N1655" s="415"/>
      <c r="O1655" s="415"/>
      <c r="P1655" s="415"/>
      <c r="Q1655" s="415"/>
    </row>
    <row r="1656" spans="14:17" ht="12.75">
      <c r="N1656" s="415"/>
      <c r="O1656" s="415"/>
      <c r="P1656" s="415"/>
      <c r="Q1656" s="415"/>
    </row>
    <row r="1657" spans="14:17" ht="12.75">
      <c r="N1657" s="415"/>
      <c r="O1657" s="415"/>
      <c r="P1657" s="415"/>
      <c r="Q1657" s="415"/>
    </row>
    <row r="1658" spans="14:17" ht="12.75">
      <c r="N1658" s="415"/>
      <c r="O1658" s="415"/>
      <c r="P1658" s="415"/>
      <c r="Q1658" s="415"/>
    </row>
    <row r="1659" spans="14:17" ht="12.75">
      <c r="N1659" s="415"/>
      <c r="O1659" s="415"/>
      <c r="P1659" s="415"/>
      <c r="Q1659" s="415"/>
    </row>
    <row r="1660" spans="14:17" ht="12.75">
      <c r="N1660" s="415"/>
      <c r="O1660" s="415"/>
      <c r="P1660" s="415"/>
      <c r="Q1660" s="415"/>
    </row>
    <row r="1661" spans="14:17" ht="12.75">
      <c r="N1661" s="415"/>
      <c r="O1661" s="415"/>
      <c r="P1661" s="415"/>
      <c r="Q1661" s="415"/>
    </row>
    <row r="1662" spans="14:17" ht="12.75">
      <c r="N1662" s="415"/>
      <c r="O1662" s="415"/>
      <c r="P1662" s="415"/>
      <c r="Q1662" s="415"/>
    </row>
    <row r="1663" spans="14:17" ht="12.75">
      <c r="N1663" s="415"/>
      <c r="O1663" s="415"/>
      <c r="P1663" s="415"/>
      <c r="Q1663" s="415"/>
    </row>
    <row r="1664" spans="14:17" ht="12.75">
      <c r="N1664" s="415"/>
      <c r="O1664" s="415"/>
      <c r="P1664" s="415"/>
      <c r="Q1664" s="415"/>
    </row>
    <row r="1665" spans="14:17" ht="12.75">
      <c r="N1665" s="415"/>
      <c r="O1665" s="415"/>
      <c r="P1665" s="415"/>
      <c r="Q1665" s="415"/>
    </row>
    <row r="1666" spans="14:17" ht="12.75">
      <c r="N1666" s="415"/>
      <c r="O1666" s="415"/>
      <c r="P1666" s="415"/>
      <c r="Q1666" s="415"/>
    </row>
    <row r="1667" spans="14:17" ht="12.75">
      <c r="N1667" s="415"/>
      <c r="O1667" s="415"/>
      <c r="P1667" s="415"/>
      <c r="Q1667" s="415"/>
    </row>
    <row r="1668" spans="14:17" ht="12.75">
      <c r="N1668" s="415"/>
      <c r="O1668" s="415"/>
      <c r="P1668" s="415"/>
      <c r="Q1668" s="415"/>
    </row>
    <row r="1669" spans="14:17" ht="12.75">
      <c r="N1669" s="415"/>
      <c r="O1669" s="415"/>
      <c r="P1669" s="415"/>
      <c r="Q1669" s="415"/>
    </row>
    <row r="1670" spans="14:17" ht="12.75">
      <c r="N1670" s="415"/>
      <c r="O1670" s="415"/>
      <c r="P1670" s="415"/>
      <c r="Q1670" s="415"/>
    </row>
    <row r="1671" spans="14:17" ht="12.75">
      <c r="N1671" s="415"/>
      <c r="O1671" s="415"/>
      <c r="P1671" s="415"/>
      <c r="Q1671" s="415"/>
    </row>
    <row r="1672" spans="14:17" ht="12.75">
      <c r="N1672" s="415"/>
      <c r="O1672" s="415"/>
      <c r="P1672" s="415"/>
      <c r="Q1672" s="415"/>
    </row>
    <row r="1673" spans="14:17" ht="12.75">
      <c r="N1673" s="415"/>
      <c r="O1673" s="415"/>
      <c r="P1673" s="415"/>
      <c r="Q1673" s="415"/>
    </row>
    <row r="1674" spans="14:17" ht="12.75">
      <c r="N1674" s="415"/>
      <c r="O1674" s="415"/>
      <c r="P1674" s="415"/>
      <c r="Q1674" s="415"/>
    </row>
    <row r="1675" spans="14:17" ht="12.75">
      <c r="N1675" s="415"/>
      <c r="O1675" s="415"/>
      <c r="P1675" s="415"/>
      <c r="Q1675" s="415"/>
    </row>
    <row r="1676" spans="14:17" ht="12.75">
      <c r="N1676" s="415"/>
      <c r="O1676" s="415"/>
      <c r="P1676" s="415"/>
      <c r="Q1676" s="415"/>
    </row>
    <row r="1677" spans="14:17" ht="12.75">
      <c r="N1677" s="415"/>
      <c r="O1677" s="415"/>
      <c r="P1677" s="415"/>
      <c r="Q1677" s="415"/>
    </row>
    <row r="1678" spans="14:17" ht="12.75">
      <c r="N1678" s="415"/>
      <c r="O1678" s="415"/>
      <c r="P1678" s="415"/>
      <c r="Q1678" s="415"/>
    </row>
    <row r="1679" spans="14:17" ht="12.75">
      <c r="N1679" s="415"/>
      <c r="O1679" s="415"/>
      <c r="P1679" s="415"/>
      <c r="Q1679" s="415"/>
    </row>
    <row r="1680" spans="14:17" ht="12.75">
      <c r="N1680" s="415"/>
      <c r="O1680" s="415"/>
      <c r="P1680" s="415"/>
      <c r="Q1680" s="415"/>
    </row>
    <row r="1681" spans="14:17" ht="12.75">
      <c r="N1681" s="415"/>
      <c r="O1681" s="415"/>
      <c r="P1681" s="415"/>
      <c r="Q1681" s="415"/>
    </row>
    <row r="1682" spans="14:17" ht="12.75">
      <c r="N1682" s="415"/>
      <c r="O1682" s="415"/>
      <c r="P1682" s="415"/>
      <c r="Q1682" s="415"/>
    </row>
    <row r="1683" spans="14:17" ht="12.75">
      <c r="N1683" s="415"/>
      <c r="O1683" s="415"/>
      <c r="P1683" s="415"/>
      <c r="Q1683" s="415"/>
    </row>
    <row r="1684" spans="14:17" ht="12.75">
      <c r="N1684" s="415"/>
      <c r="O1684" s="415"/>
      <c r="P1684" s="415"/>
      <c r="Q1684" s="415"/>
    </row>
    <row r="1685" spans="14:17" ht="12.75">
      <c r="N1685" s="415"/>
      <c r="O1685" s="415"/>
      <c r="P1685" s="415"/>
      <c r="Q1685" s="415"/>
    </row>
    <row r="1686" spans="14:17" ht="12.75">
      <c r="N1686" s="415"/>
      <c r="O1686" s="415"/>
      <c r="P1686" s="415"/>
      <c r="Q1686" s="415"/>
    </row>
    <row r="1687" spans="14:17" ht="12.75">
      <c r="N1687" s="415"/>
      <c r="O1687" s="415"/>
      <c r="P1687" s="415"/>
      <c r="Q1687" s="415"/>
    </row>
    <row r="1688" spans="14:17" ht="12.75">
      <c r="N1688" s="415"/>
      <c r="O1688" s="415"/>
      <c r="P1688" s="415"/>
      <c r="Q1688" s="415"/>
    </row>
    <row r="1689" spans="14:17" ht="12.75">
      <c r="N1689" s="415"/>
      <c r="O1689" s="415"/>
      <c r="P1689" s="415"/>
      <c r="Q1689" s="415"/>
    </row>
    <row r="1690" spans="14:17" ht="12.75">
      <c r="N1690" s="415"/>
      <c r="O1690" s="415"/>
      <c r="P1690" s="415"/>
      <c r="Q1690" s="415"/>
    </row>
    <row r="1691" spans="14:17" ht="12.75">
      <c r="N1691" s="415"/>
      <c r="O1691" s="415"/>
      <c r="P1691" s="415"/>
      <c r="Q1691" s="415"/>
    </row>
    <row r="1692" spans="14:17" ht="12.75">
      <c r="N1692" s="415"/>
      <c r="O1692" s="415"/>
      <c r="P1692" s="415"/>
      <c r="Q1692" s="415"/>
    </row>
    <row r="1693" spans="14:17" ht="12.75">
      <c r="N1693" s="415"/>
      <c r="O1693" s="415"/>
      <c r="P1693" s="415"/>
      <c r="Q1693" s="415"/>
    </row>
    <row r="1694" spans="14:17" ht="12.75">
      <c r="N1694" s="415"/>
      <c r="O1694" s="415"/>
      <c r="P1694" s="415"/>
      <c r="Q1694" s="415"/>
    </row>
    <row r="1695" spans="14:17" ht="12.75">
      <c r="N1695" s="415"/>
      <c r="O1695" s="415"/>
      <c r="P1695" s="415"/>
      <c r="Q1695" s="415"/>
    </row>
    <row r="1696" spans="14:17" ht="12.75">
      <c r="N1696" s="415"/>
      <c r="O1696" s="415"/>
      <c r="P1696" s="415"/>
      <c r="Q1696" s="415"/>
    </row>
    <row r="1697" spans="14:17" ht="12.75">
      <c r="N1697" s="415"/>
      <c r="O1697" s="415"/>
      <c r="P1697" s="415"/>
      <c r="Q1697" s="415"/>
    </row>
    <row r="1698" spans="14:17" ht="12.75">
      <c r="N1698" s="415"/>
      <c r="O1698" s="415"/>
      <c r="P1698" s="415"/>
      <c r="Q1698" s="415"/>
    </row>
    <row r="1699" spans="14:17" ht="12.75">
      <c r="N1699" s="415"/>
      <c r="O1699" s="415"/>
      <c r="P1699" s="415"/>
      <c r="Q1699" s="415"/>
    </row>
    <row r="1700" spans="14:17" ht="12.75">
      <c r="N1700" s="415"/>
      <c r="O1700" s="415"/>
      <c r="P1700" s="415"/>
      <c r="Q1700" s="415"/>
    </row>
    <row r="1701" spans="14:17" ht="12.75">
      <c r="N1701" s="415"/>
      <c r="O1701" s="415"/>
      <c r="P1701" s="415"/>
      <c r="Q1701" s="415"/>
    </row>
    <row r="1702" spans="14:17" ht="12.75">
      <c r="N1702" s="415"/>
      <c r="O1702" s="415"/>
      <c r="P1702" s="415"/>
      <c r="Q1702" s="415"/>
    </row>
    <row r="1703" spans="14:17" ht="12.75">
      <c r="N1703" s="415"/>
      <c r="O1703" s="415"/>
      <c r="P1703" s="415"/>
      <c r="Q1703" s="415"/>
    </row>
    <row r="1704" spans="14:17" ht="12.75">
      <c r="N1704" s="415"/>
      <c r="O1704" s="415"/>
      <c r="P1704" s="415"/>
      <c r="Q1704" s="415"/>
    </row>
    <row r="1705" spans="14:17" ht="12.75">
      <c r="N1705" s="415"/>
      <c r="O1705" s="415"/>
      <c r="P1705" s="415"/>
      <c r="Q1705" s="415"/>
    </row>
    <row r="1706" spans="14:17" ht="12.75">
      <c r="N1706" s="415"/>
      <c r="O1706" s="415"/>
      <c r="P1706" s="415"/>
      <c r="Q1706" s="415"/>
    </row>
    <row r="1707" spans="14:17" ht="12.75">
      <c r="N1707" s="415"/>
      <c r="O1707" s="415"/>
      <c r="P1707" s="415"/>
      <c r="Q1707" s="415"/>
    </row>
    <row r="1708" spans="14:17" ht="12.75">
      <c r="N1708" s="415"/>
      <c r="O1708" s="415"/>
      <c r="P1708" s="415"/>
      <c r="Q1708" s="415"/>
    </row>
    <row r="1709" spans="14:17" ht="12.75">
      <c r="N1709" s="415"/>
      <c r="O1709" s="415"/>
      <c r="P1709" s="415"/>
      <c r="Q1709" s="415"/>
    </row>
    <row r="1710" spans="14:17" ht="12.75">
      <c r="N1710" s="415"/>
      <c r="O1710" s="415"/>
      <c r="P1710" s="415"/>
      <c r="Q1710" s="415"/>
    </row>
    <row r="1711" spans="14:17" ht="12.75">
      <c r="N1711" s="415"/>
      <c r="O1711" s="415"/>
      <c r="P1711" s="415"/>
      <c r="Q1711" s="415"/>
    </row>
    <row r="1712" spans="14:17" ht="12.75">
      <c r="N1712" s="415"/>
      <c r="O1712" s="415"/>
      <c r="P1712" s="415"/>
      <c r="Q1712" s="415"/>
    </row>
    <row r="1713" spans="14:17" ht="12.75">
      <c r="N1713" s="415"/>
      <c r="O1713" s="415"/>
      <c r="P1713" s="415"/>
      <c r="Q1713" s="415"/>
    </row>
    <row r="1714" spans="14:17" ht="12.75">
      <c r="N1714" s="415"/>
      <c r="O1714" s="415"/>
      <c r="P1714" s="415"/>
      <c r="Q1714" s="415"/>
    </row>
    <row r="1715" spans="14:17" ht="12.75">
      <c r="N1715" s="415"/>
      <c r="O1715" s="415"/>
      <c r="P1715" s="415"/>
      <c r="Q1715" s="415"/>
    </row>
    <row r="1716" spans="14:17" ht="12.75">
      <c r="N1716" s="415"/>
      <c r="O1716" s="415"/>
      <c r="P1716" s="415"/>
      <c r="Q1716" s="415"/>
    </row>
    <row r="1717" spans="14:17" ht="12.75">
      <c r="N1717" s="415"/>
      <c r="O1717" s="415"/>
      <c r="P1717" s="415"/>
      <c r="Q1717" s="415"/>
    </row>
    <row r="1718" spans="14:17" ht="12.75">
      <c r="N1718" s="415"/>
      <c r="O1718" s="415"/>
      <c r="P1718" s="415"/>
      <c r="Q1718" s="415"/>
    </row>
    <row r="1719" spans="14:17" ht="12.75">
      <c r="N1719" s="415"/>
      <c r="O1719" s="415"/>
      <c r="P1719" s="415"/>
      <c r="Q1719" s="415"/>
    </row>
    <row r="1720" spans="14:17" ht="12.75">
      <c r="N1720" s="415"/>
      <c r="O1720" s="415"/>
      <c r="P1720" s="415"/>
      <c r="Q1720" s="415"/>
    </row>
    <row r="1721" spans="14:17" ht="12.75">
      <c r="N1721" s="415"/>
      <c r="O1721" s="415"/>
      <c r="P1721" s="415"/>
      <c r="Q1721" s="415"/>
    </row>
    <row r="1722" spans="14:17" ht="12.75">
      <c r="N1722" s="415"/>
      <c r="O1722" s="415"/>
      <c r="P1722" s="415"/>
      <c r="Q1722" s="415"/>
    </row>
    <row r="1723" spans="14:17" ht="12.75">
      <c r="N1723" s="415"/>
      <c r="O1723" s="415"/>
      <c r="P1723" s="415"/>
      <c r="Q1723" s="415"/>
    </row>
    <row r="1724" spans="14:17" ht="12.75">
      <c r="N1724" s="415"/>
      <c r="O1724" s="415"/>
      <c r="P1724" s="415"/>
      <c r="Q1724" s="415"/>
    </row>
    <row r="1725" spans="14:17" ht="12.75">
      <c r="N1725" s="415"/>
      <c r="O1725" s="415"/>
      <c r="P1725" s="415"/>
      <c r="Q1725" s="415"/>
    </row>
    <row r="1726" spans="14:17" ht="12.75">
      <c r="N1726" s="415"/>
      <c r="O1726" s="415"/>
      <c r="P1726" s="415"/>
      <c r="Q1726" s="415"/>
    </row>
    <row r="1727" spans="14:17" ht="12.75">
      <c r="N1727" s="415"/>
      <c r="O1727" s="415"/>
      <c r="P1727" s="415"/>
      <c r="Q1727" s="415"/>
    </row>
    <row r="1728" spans="14:17" ht="12.75">
      <c r="N1728" s="415"/>
      <c r="O1728" s="415"/>
      <c r="P1728" s="415"/>
      <c r="Q1728" s="415"/>
    </row>
    <row r="1729" spans="14:17" ht="12.75">
      <c r="N1729" s="415"/>
      <c r="O1729" s="415"/>
      <c r="P1729" s="415"/>
      <c r="Q1729" s="415"/>
    </row>
    <row r="1730" spans="14:17" ht="12.75">
      <c r="N1730" s="415"/>
      <c r="O1730" s="415"/>
      <c r="P1730" s="415"/>
      <c r="Q1730" s="415"/>
    </row>
    <row r="1731" spans="14:17" ht="12.75">
      <c r="N1731" s="415"/>
      <c r="O1731" s="415"/>
      <c r="P1731" s="415"/>
      <c r="Q1731" s="415"/>
    </row>
    <row r="1732" spans="14:17" ht="12.75">
      <c r="N1732" s="415"/>
      <c r="O1732" s="415"/>
      <c r="P1732" s="415"/>
      <c r="Q1732" s="415"/>
    </row>
    <row r="1733" spans="14:17" ht="12.75">
      <c r="N1733" s="415"/>
      <c r="O1733" s="415"/>
      <c r="P1733" s="415"/>
      <c r="Q1733" s="415"/>
    </row>
    <row r="1734" spans="14:17" ht="12.75">
      <c r="N1734" s="415"/>
      <c r="O1734" s="415"/>
      <c r="P1734" s="415"/>
      <c r="Q1734" s="415"/>
    </row>
    <row r="1735" spans="14:17" ht="12.75">
      <c r="N1735" s="415"/>
      <c r="O1735" s="415"/>
      <c r="P1735" s="415"/>
      <c r="Q1735" s="415"/>
    </row>
    <row r="1736" spans="14:17" ht="12.75">
      <c r="N1736" s="415"/>
      <c r="O1736" s="415"/>
      <c r="P1736" s="415"/>
      <c r="Q1736" s="415"/>
    </row>
    <row r="1737" spans="14:17" ht="12.75">
      <c r="N1737" s="415"/>
      <c r="O1737" s="415"/>
      <c r="P1737" s="415"/>
      <c r="Q1737" s="415"/>
    </row>
    <row r="1738" spans="14:17" ht="12.75">
      <c r="N1738" s="415"/>
      <c r="O1738" s="415"/>
      <c r="P1738" s="415"/>
      <c r="Q1738" s="415"/>
    </row>
    <row r="1739" spans="14:17" ht="12.75">
      <c r="N1739" s="415"/>
      <c r="O1739" s="415"/>
      <c r="P1739" s="415"/>
      <c r="Q1739" s="415"/>
    </row>
    <row r="1740" spans="14:17" ht="12.75">
      <c r="N1740" s="415"/>
      <c r="O1740" s="415"/>
      <c r="P1740" s="415"/>
      <c r="Q1740" s="415"/>
    </row>
    <row r="1741" spans="14:17" ht="12.75">
      <c r="N1741" s="415"/>
      <c r="O1741" s="415"/>
      <c r="P1741" s="415"/>
      <c r="Q1741" s="415"/>
    </row>
    <row r="1742" spans="14:17" ht="12.75">
      <c r="N1742" s="415"/>
      <c r="O1742" s="415"/>
      <c r="P1742" s="415"/>
      <c r="Q1742" s="415"/>
    </row>
    <row r="1743" spans="14:17" ht="12.75">
      <c r="N1743" s="415"/>
      <c r="O1743" s="415"/>
      <c r="P1743" s="415"/>
      <c r="Q1743" s="415"/>
    </row>
    <row r="1744" spans="14:17" ht="12.75">
      <c r="N1744" s="415"/>
      <c r="O1744" s="415"/>
      <c r="P1744" s="415"/>
      <c r="Q1744" s="415"/>
    </row>
    <row r="1745" spans="14:17" ht="12.75">
      <c r="N1745" s="415"/>
      <c r="O1745" s="415"/>
      <c r="P1745" s="415"/>
      <c r="Q1745" s="415"/>
    </row>
    <row r="1746" spans="14:17" ht="12.75">
      <c r="N1746" s="415"/>
      <c r="O1746" s="415"/>
      <c r="P1746" s="415"/>
      <c r="Q1746" s="415"/>
    </row>
    <row r="1747" spans="14:17" ht="12.75">
      <c r="N1747" s="415"/>
      <c r="O1747" s="415"/>
      <c r="P1747" s="415"/>
      <c r="Q1747" s="415"/>
    </row>
    <row r="1748" spans="14:17" ht="12.75">
      <c r="N1748" s="415"/>
      <c r="O1748" s="415"/>
      <c r="P1748" s="415"/>
      <c r="Q1748" s="415"/>
    </row>
    <row r="1749" spans="14:17" ht="12.75">
      <c r="N1749" s="415"/>
      <c r="O1749" s="415"/>
      <c r="P1749" s="415"/>
      <c r="Q1749" s="415"/>
    </row>
    <row r="1750" spans="14:17" ht="12.75">
      <c r="N1750" s="415"/>
      <c r="O1750" s="415"/>
      <c r="P1750" s="415"/>
      <c r="Q1750" s="415"/>
    </row>
    <row r="1751" spans="14:17" ht="12.75">
      <c r="N1751" s="415"/>
      <c r="O1751" s="415"/>
      <c r="P1751" s="415"/>
      <c r="Q1751" s="415"/>
    </row>
    <row r="1752" spans="14:17" ht="12.75">
      <c r="N1752" s="415"/>
      <c r="O1752" s="415"/>
      <c r="P1752" s="415"/>
      <c r="Q1752" s="415"/>
    </row>
    <row r="1753" spans="14:17" ht="12.75">
      <c r="N1753" s="415"/>
      <c r="O1753" s="415"/>
      <c r="P1753" s="415"/>
      <c r="Q1753" s="415"/>
    </row>
    <row r="1754" spans="14:17" ht="12.75">
      <c r="N1754" s="415"/>
      <c r="O1754" s="415"/>
      <c r="P1754" s="415"/>
      <c r="Q1754" s="415"/>
    </row>
    <row r="1755" spans="14:17" ht="12.75">
      <c r="N1755" s="415"/>
      <c r="O1755" s="415"/>
      <c r="P1755" s="415"/>
      <c r="Q1755" s="415"/>
    </row>
    <row r="1756" spans="14:17" ht="12.75">
      <c r="N1756" s="415"/>
      <c r="O1756" s="415"/>
      <c r="P1756" s="415"/>
      <c r="Q1756" s="415"/>
    </row>
    <row r="1757" spans="14:17" ht="12.75">
      <c r="N1757" s="415"/>
      <c r="O1757" s="415"/>
      <c r="P1757" s="415"/>
      <c r="Q1757" s="415"/>
    </row>
    <row r="1758" spans="14:17" ht="12.75">
      <c r="N1758" s="415"/>
      <c r="O1758" s="415"/>
      <c r="P1758" s="415"/>
      <c r="Q1758" s="415"/>
    </row>
    <row r="1759" spans="14:17" ht="12.75">
      <c r="N1759" s="415"/>
      <c r="O1759" s="415"/>
      <c r="P1759" s="415"/>
      <c r="Q1759" s="415"/>
    </row>
    <row r="1760" spans="14:17" ht="12.75">
      <c r="N1760" s="415"/>
      <c r="O1760" s="415"/>
      <c r="P1760" s="415"/>
      <c r="Q1760" s="415"/>
    </row>
    <row r="1761" spans="14:17" ht="12.75">
      <c r="N1761" s="415"/>
      <c r="O1761" s="415"/>
      <c r="P1761" s="415"/>
      <c r="Q1761" s="415"/>
    </row>
    <row r="1762" spans="14:17" ht="12.75">
      <c r="N1762" s="415"/>
      <c r="O1762" s="415"/>
      <c r="P1762" s="415"/>
      <c r="Q1762" s="415"/>
    </row>
    <row r="1763" spans="14:17" ht="12.75">
      <c r="N1763" s="415"/>
      <c r="O1763" s="415"/>
      <c r="P1763" s="415"/>
      <c r="Q1763" s="415"/>
    </row>
    <row r="1764" spans="14:17" ht="12.75">
      <c r="N1764" s="415"/>
      <c r="O1764" s="415"/>
      <c r="P1764" s="415"/>
      <c r="Q1764" s="415"/>
    </row>
    <row r="1765" spans="14:17" ht="12.75">
      <c r="N1765" s="415"/>
      <c r="O1765" s="415"/>
      <c r="P1765" s="415"/>
      <c r="Q1765" s="415"/>
    </row>
    <row r="1766" spans="14:17" ht="12.75">
      <c r="N1766" s="415"/>
      <c r="O1766" s="415"/>
      <c r="P1766" s="415"/>
      <c r="Q1766" s="415"/>
    </row>
    <row r="1767" spans="14:17" ht="12.75">
      <c r="N1767" s="415"/>
      <c r="O1767" s="415"/>
      <c r="P1767" s="415"/>
      <c r="Q1767" s="415"/>
    </row>
    <row r="1768" spans="14:17" ht="12.75">
      <c r="N1768" s="415"/>
      <c r="O1768" s="415"/>
      <c r="P1768" s="415"/>
      <c r="Q1768" s="415"/>
    </row>
    <row r="1769" spans="14:17" ht="12.75">
      <c r="N1769" s="415"/>
      <c r="O1769" s="415"/>
      <c r="P1769" s="415"/>
      <c r="Q1769" s="415"/>
    </row>
    <row r="1770" spans="14:17" ht="12.75">
      <c r="N1770" s="415"/>
      <c r="O1770" s="415"/>
      <c r="P1770" s="415"/>
      <c r="Q1770" s="415"/>
    </row>
    <row r="1771" spans="14:17" ht="12.75">
      <c r="N1771" s="415"/>
      <c r="O1771" s="415"/>
      <c r="P1771" s="415"/>
      <c r="Q1771" s="415"/>
    </row>
    <row r="1772" spans="14:17" ht="12.75">
      <c r="N1772" s="415"/>
      <c r="O1772" s="415"/>
      <c r="P1772" s="415"/>
      <c r="Q1772" s="415"/>
    </row>
    <row r="1773" spans="14:17" ht="12.75">
      <c r="N1773" s="415"/>
      <c r="O1773" s="415"/>
      <c r="P1773" s="415"/>
      <c r="Q1773" s="415"/>
    </row>
    <row r="1774" spans="14:17" ht="12.75">
      <c r="N1774" s="415"/>
      <c r="O1774" s="415"/>
      <c r="P1774" s="415"/>
      <c r="Q1774" s="415"/>
    </row>
    <row r="1775" spans="14:17" ht="12.75">
      <c r="N1775" s="415"/>
      <c r="O1775" s="415"/>
      <c r="P1775" s="415"/>
      <c r="Q1775" s="415"/>
    </row>
    <row r="1776" spans="14:17" ht="12.75">
      <c r="N1776" s="415"/>
      <c r="O1776" s="415"/>
      <c r="P1776" s="415"/>
      <c r="Q1776" s="415"/>
    </row>
    <row r="1777" spans="14:17" ht="12.75">
      <c r="N1777" s="415"/>
      <c r="O1777" s="415"/>
      <c r="P1777" s="415"/>
      <c r="Q1777" s="415"/>
    </row>
    <row r="1778" spans="14:17" ht="12.75">
      <c r="N1778" s="415"/>
      <c r="O1778" s="415"/>
      <c r="P1778" s="415"/>
      <c r="Q1778" s="415"/>
    </row>
    <row r="1779" spans="14:17" ht="12.75">
      <c r="N1779" s="415"/>
      <c r="O1779" s="415"/>
      <c r="P1779" s="415"/>
      <c r="Q1779" s="415"/>
    </row>
    <row r="1780" spans="14:17" ht="12.75">
      <c r="N1780" s="415"/>
      <c r="O1780" s="415"/>
      <c r="P1780" s="415"/>
      <c r="Q1780" s="415"/>
    </row>
    <row r="1781" spans="14:17" ht="12.75">
      <c r="N1781" s="415"/>
      <c r="O1781" s="415"/>
      <c r="P1781" s="415"/>
      <c r="Q1781" s="415"/>
    </row>
    <row r="1782" spans="14:17" ht="12.75">
      <c r="N1782" s="415"/>
      <c r="O1782" s="415"/>
      <c r="P1782" s="415"/>
      <c r="Q1782" s="415"/>
    </row>
    <row r="1783" spans="14:17" ht="12.75">
      <c r="N1783" s="415"/>
      <c r="O1783" s="415"/>
      <c r="P1783" s="415"/>
      <c r="Q1783" s="415"/>
    </row>
    <row r="1784" spans="14:17" ht="12.75">
      <c r="N1784" s="415"/>
      <c r="O1784" s="415"/>
      <c r="P1784" s="415"/>
      <c r="Q1784" s="415"/>
    </row>
    <row r="1785" spans="14:17" ht="12.75">
      <c r="N1785" s="415"/>
      <c r="O1785" s="415"/>
      <c r="P1785" s="415"/>
      <c r="Q1785" s="415"/>
    </row>
    <row r="1786" spans="14:17" ht="12.75">
      <c r="N1786" s="415"/>
      <c r="O1786" s="415"/>
      <c r="P1786" s="415"/>
      <c r="Q1786" s="415"/>
    </row>
    <row r="1787" spans="14:17" ht="12.75">
      <c r="N1787" s="415"/>
      <c r="O1787" s="415"/>
      <c r="P1787" s="415"/>
      <c r="Q1787" s="415"/>
    </row>
    <row r="1788" spans="14:17" ht="12.75">
      <c r="N1788" s="415"/>
      <c r="O1788" s="415"/>
      <c r="P1788" s="415"/>
      <c r="Q1788" s="415"/>
    </row>
    <row r="1789" spans="14:17" ht="12.75">
      <c r="N1789" s="415"/>
      <c r="O1789" s="415"/>
      <c r="P1789" s="415"/>
      <c r="Q1789" s="415"/>
    </row>
    <row r="1790" spans="14:17" ht="12.75">
      <c r="N1790" s="415"/>
      <c r="O1790" s="415"/>
      <c r="P1790" s="415"/>
      <c r="Q1790" s="415"/>
    </row>
    <row r="1791" spans="14:17" ht="12.75">
      <c r="N1791" s="415"/>
      <c r="O1791" s="415"/>
      <c r="P1791" s="415"/>
      <c r="Q1791" s="415"/>
    </row>
    <row r="1792" spans="14:17" ht="12.75">
      <c r="N1792" s="415"/>
      <c r="O1792" s="415"/>
      <c r="P1792" s="415"/>
      <c r="Q1792" s="415"/>
    </row>
    <row r="1793" spans="14:17" ht="12.75">
      <c r="N1793" s="415"/>
      <c r="O1793" s="415"/>
      <c r="P1793" s="415"/>
      <c r="Q1793" s="415"/>
    </row>
    <row r="1794" spans="14:17" ht="12.75">
      <c r="N1794" s="415"/>
      <c r="O1794" s="415"/>
      <c r="P1794" s="415"/>
      <c r="Q1794" s="415"/>
    </row>
    <row r="1795" spans="14:17" ht="12.75">
      <c r="N1795" s="415"/>
      <c r="O1795" s="415"/>
      <c r="P1795" s="415"/>
      <c r="Q1795" s="415"/>
    </row>
    <row r="1796" spans="14:17" ht="12.75">
      <c r="N1796" s="415"/>
      <c r="O1796" s="415"/>
      <c r="P1796" s="415"/>
      <c r="Q1796" s="415"/>
    </row>
    <row r="1797" spans="14:17" ht="12.75">
      <c r="N1797" s="415"/>
      <c r="O1797" s="415"/>
      <c r="P1797" s="415"/>
      <c r="Q1797" s="415"/>
    </row>
    <row r="1798" spans="14:17" ht="12.75">
      <c r="N1798" s="415"/>
      <c r="O1798" s="415"/>
      <c r="P1798" s="415"/>
      <c r="Q1798" s="415"/>
    </row>
    <row r="1799" spans="14:17" ht="12.75">
      <c r="N1799" s="415"/>
      <c r="O1799" s="415"/>
      <c r="P1799" s="415"/>
      <c r="Q1799" s="415"/>
    </row>
    <row r="1800" spans="14:17" ht="12.75">
      <c r="N1800" s="415"/>
      <c r="O1800" s="415"/>
      <c r="P1800" s="415"/>
      <c r="Q1800" s="415"/>
    </row>
    <row r="1801" spans="14:17" ht="12.75">
      <c r="N1801" s="415"/>
      <c r="O1801" s="415"/>
      <c r="P1801" s="415"/>
      <c r="Q1801" s="415"/>
    </row>
    <row r="1802" spans="14:17" ht="12.75">
      <c r="N1802" s="415"/>
      <c r="O1802" s="415"/>
      <c r="P1802" s="415"/>
      <c r="Q1802" s="415"/>
    </row>
    <row r="1803" spans="14:17" ht="12.75">
      <c r="N1803" s="415"/>
      <c r="O1803" s="415"/>
      <c r="P1803" s="415"/>
      <c r="Q1803" s="415"/>
    </row>
    <row r="1804" spans="14:17" ht="12.75">
      <c r="N1804" s="415"/>
      <c r="O1804" s="415"/>
      <c r="P1804" s="415"/>
      <c r="Q1804" s="415"/>
    </row>
    <row r="1805" spans="14:17" ht="12.75">
      <c r="N1805" s="415"/>
      <c r="O1805" s="415"/>
      <c r="P1805" s="415"/>
      <c r="Q1805" s="415"/>
    </row>
    <row r="1806" spans="14:17" ht="12.75">
      <c r="N1806" s="415"/>
      <c r="O1806" s="415"/>
      <c r="P1806" s="415"/>
      <c r="Q1806" s="415"/>
    </row>
    <row r="1807" spans="14:17" ht="12.75">
      <c r="N1807" s="415"/>
      <c r="O1807" s="415"/>
      <c r="P1807" s="415"/>
      <c r="Q1807" s="415"/>
    </row>
    <row r="1808" spans="14:17" ht="12.75">
      <c r="N1808" s="415"/>
      <c r="O1808" s="415"/>
      <c r="P1808" s="415"/>
      <c r="Q1808" s="415"/>
    </row>
    <row r="1809" spans="14:17" ht="12.75">
      <c r="N1809" s="415"/>
      <c r="O1809" s="415"/>
      <c r="P1809" s="415"/>
      <c r="Q1809" s="415"/>
    </row>
    <row r="1810" spans="14:17" ht="12.75">
      <c r="N1810" s="415"/>
      <c r="O1810" s="415"/>
      <c r="P1810" s="415"/>
      <c r="Q1810" s="415"/>
    </row>
    <row r="1811" spans="14:17" ht="12.75">
      <c r="N1811" s="415"/>
      <c r="O1811" s="415"/>
      <c r="P1811" s="415"/>
      <c r="Q1811" s="415"/>
    </row>
    <row r="1812" spans="14:17" ht="12.75">
      <c r="N1812" s="415"/>
      <c r="O1812" s="415"/>
      <c r="P1812" s="415"/>
      <c r="Q1812" s="415"/>
    </row>
    <row r="1813" spans="14:17" ht="12.75">
      <c r="N1813" s="415"/>
      <c r="O1813" s="415"/>
      <c r="P1813" s="415"/>
      <c r="Q1813" s="415"/>
    </row>
    <row r="1814" spans="14:17" ht="12.75">
      <c r="N1814" s="415"/>
      <c r="O1814" s="415"/>
      <c r="P1814" s="415"/>
      <c r="Q1814" s="415"/>
    </row>
    <row r="1815" spans="14:17" ht="12.75">
      <c r="N1815" s="415"/>
      <c r="O1815" s="415"/>
      <c r="P1815" s="415"/>
      <c r="Q1815" s="415"/>
    </row>
    <row r="1816" spans="14:17" ht="12.75">
      <c r="N1816" s="415"/>
      <c r="O1816" s="415"/>
      <c r="P1816" s="415"/>
      <c r="Q1816" s="415"/>
    </row>
    <row r="1817" spans="14:17" ht="12.75">
      <c r="N1817" s="415"/>
      <c r="O1817" s="415"/>
      <c r="P1817" s="415"/>
      <c r="Q1817" s="415"/>
    </row>
    <row r="1818" spans="14:17" ht="12.75">
      <c r="N1818" s="415"/>
      <c r="O1818" s="415"/>
      <c r="P1818" s="415"/>
      <c r="Q1818" s="415"/>
    </row>
    <row r="1819" spans="14:17" ht="12.75">
      <c r="N1819" s="415"/>
      <c r="O1819" s="415"/>
      <c r="P1819" s="415"/>
      <c r="Q1819" s="415"/>
    </row>
    <row r="1820" spans="14:17" ht="12.75">
      <c r="N1820" s="415"/>
      <c r="O1820" s="415"/>
      <c r="P1820" s="415"/>
      <c r="Q1820" s="415"/>
    </row>
    <row r="1821" spans="14:17" ht="12.75">
      <c r="N1821" s="415"/>
      <c r="O1821" s="415"/>
      <c r="P1821" s="415"/>
      <c r="Q1821" s="415"/>
    </row>
    <row r="1822" spans="14:17" ht="12.75">
      <c r="N1822" s="415"/>
      <c r="O1822" s="415"/>
      <c r="P1822" s="415"/>
      <c r="Q1822" s="415"/>
    </row>
    <row r="1823" spans="14:17" ht="12.75">
      <c r="N1823" s="415"/>
      <c r="O1823" s="415"/>
      <c r="P1823" s="415"/>
      <c r="Q1823" s="415"/>
    </row>
    <row r="1824" spans="14:17" ht="12.75">
      <c r="N1824" s="415"/>
      <c r="O1824" s="415"/>
      <c r="P1824" s="415"/>
      <c r="Q1824" s="415"/>
    </row>
    <row r="1825" spans="14:17" ht="12.75">
      <c r="N1825" s="415"/>
      <c r="O1825" s="415"/>
      <c r="P1825" s="415"/>
      <c r="Q1825" s="415"/>
    </row>
    <row r="1826" spans="14:17" ht="12.75">
      <c r="N1826" s="415"/>
      <c r="O1826" s="415"/>
      <c r="P1826" s="415"/>
      <c r="Q1826" s="415"/>
    </row>
    <row r="1827" spans="14:17" ht="12.75">
      <c r="N1827" s="415"/>
      <c r="O1827" s="415"/>
      <c r="P1827" s="415"/>
      <c r="Q1827" s="415"/>
    </row>
    <row r="1828" spans="14:17" ht="12.75">
      <c r="N1828" s="415"/>
      <c r="O1828" s="415"/>
      <c r="P1828" s="415"/>
      <c r="Q1828" s="415"/>
    </row>
    <row r="1829" spans="14:17" ht="12.75">
      <c r="N1829" s="415"/>
      <c r="O1829" s="415"/>
      <c r="P1829" s="415"/>
      <c r="Q1829" s="415"/>
    </row>
    <row r="1830" spans="14:17" ht="12.75">
      <c r="N1830" s="415"/>
      <c r="O1830" s="415"/>
      <c r="P1830" s="415"/>
      <c r="Q1830" s="415"/>
    </row>
    <row r="1831" spans="14:17" ht="12.75">
      <c r="N1831" s="415"/>
      <c r="O1831" s="415"/>
      <c r="P1831" s="415"/>
      <c r="Q1831" s="415"/>
    </row>
    <row r="1832" spans="14:17" ht="12.75">
      <c r="N1832" s="415"/>
      <c r="O1832" s="415"/>
      <c r="P1832" s="415"/>
      <c r="Q1832" s="415"/>
    </row>
    <row r="1833" spans="14:17" ht="12.75">
      <c r="N1833" s="415"/>
      <c r="O1833" s="415"/>
      <c r="P1833" s="415"/>
      <c r="Q1833" s="415"/>
    </row>
    <row r="1834" spans="14:17" ht="12.75">
      <c r="N1834" s="415"/>
      <c r="O1834" s="415"/>
      <c r="P1834" s="415"/>
      <c r="Q1834" s="415"/>
    </row>
    <row r="1835" spans="14:17" ht="12.75">
      <c r="N1835" s="415"/>
      <c r="O1835" s="415"/>
      <c r="P1835" s="415"/>
      <c r="Q1835" s="415"/>
    </row>
    <row r="1836" spans="14:17" ht="12.75">
      <c r="N1836" s="415"/>
      <c r="O1836" s="415"/>
      <c r="P1836" s="415"/>
      <c r="Q1836" s="415"/>
    </row>
    <row r="1837" spans="14:17" ht="12.75">
      <c r="N1837" s="415"/>
      <c r="O1837" s="415"/>
      <c r="P1837" s="415"/>
      <c r="Q1837" s="415"/>
    </row>
    <row r="1838" spans="14:17" ht="12.75">
      <c r="N1838" s="415"/>
      <c r="O1838" s="415"/>
      <c r="P1838" s="415"/>
      <c r="Q1838" s="415"/>
    </row>
    <row r="1839" spans="14:17" ht="12.75">
      <c r="N1839" s="415"/>
      <c r="O1839" s="415"/>
      <c r="P1839" s="415"/>
      <c r="Q1839" s="415"/>
    </row>
    <row r="1840" spans="14:17" ht="12.75">
      <c r="N1840" s="415"/>
      <c r="O1840" s="415"/>
      <c r="P1840" s="415"/>
      <c r="Q1840" s="415"/>
    </row>
    <row r="1841" spans="14:17" ht="12.75">
      <c r="N1841" s="415"/>
      <c r="O1841" s="415"/>
      <c r="P1841" s="415"/>
      <c r="Q1841" s="415"/>
    </row>
    <row r="1842" spans="14:17" ht="12.75">
      <c r="N1842" s="415"/>
      <c r="O1842" s="415"/>
      <c r="P1842" s="415"/>
      <c r="Q1842" s="415"/>
    </row>
    <row r="1843" spans="14:17" ht="12.75">
      <c r="N1843" s="415"/>
      <c r="O1843" s="415"/>
      <c r="P1843" s="415"/>
      <c r="Q1843" s="415"/>
    </row>
    <row r="1844" spans="14:17" ht="12.75">
      <c r="N1844" s="415"/>
      <c r="O1844" s="415"/>
      <c r="P1844" s="415"/>
      <c r="Q1844" s="415"/>
    </row>
    <row r="1845" spans="14:17" ht="12.75">
      <c r="N1845" s="415"/>
      <c r="O1845" s="415"/>
      <c r="P1845" s="415"/>
      <c r="Q1845" s="415"/>
    </row>
    <row r="1846" spans="14:17" ht="12.75">
      <c r="N1846" s="415"/>
      <c r="O1846" s="415"/>
      <c r="P1846" s="415"/>
      <c r="Q1846" s="415"/>
    </row>
    <row r="1847" spans="14:17" ht="12.75">
      <c r="N1847" s="415"/>
      <c r="O1847" s="415"/>
      <c r="P1847" s="415"/>
      <c r="Q1847" s="415"/>
    </row>
    <row r="1848" spans="14:17" ht="12.75">
      <c r="N1848" s="415"/>
      <c r="O1848" s="415"/>
      <c r="P1848" s="415"/>
      <c r="Q1848" s="415"/>
    </row>
    <row r="1849" spans="14:17" ht="12.75">
      <c r="N1849" s="415"/>
      <c r="O1849" s="415"/>
      <c r="P1849" s="415"/>
      <c r="Q1849" s="415"/>
    </row>
    <row r="1850" spans="14:17" ht="12.75">
      <c r="N1850" s="415"/>
      <c r="O1850" s="415"/>
      <c r="P1850" s="415"/>
      <c r="Q1850" s="415"/>
    </row>
    <row r="1851" spans="14:17" ht="12.75">
      <c r="N1851" s="415"/>
      <c r="O1851" s="415"/>
      <c r="P1851" s="415"/>
      <c r="Q1851" s="415"/>
    </row>
    <row r="1852" spans="14:17" ht="12.75">
      <c r="N1852" s="415"/>
      <c r="O1852" s="415"/>
      <c r="P1852" s="415"/>
      <c r="Q1852" s="415"/>
    </row>
    <row r="1853" spans="14:17" ht="12.75">
      <c r="N1853" s="415"/>
      <c r="O1853" s="415"/>
      <c r="P1853" s="415"/>
      <c r="Q1853" s="415"/>
    </row>
    <row r="1854" spans="14:17" ht="12.75">
      <c r="N1854" s="415"/>
      <c r="O1854" s="415"/>
      <c r="P1854" s="415"/>
      <c r="Q1854" s="415"/>
    </row>
    <row r="1855" spans="14:17" ht="12.75">
      <c r="N1855" s="415"/>
      <c r="O1855" s="415"/>
      <c r="P1855" s="415"/>
      <c r="Q1855" s="415"/>
    </row>
    <row r="1856" spans="14:17" ht="12.75">
      <c r="N1856" s="415"/>
      <c r="O1856" s="415"/>
      <c r="P1856" s="415"/>
      <c r="Q1856" s="415"/>
    </row>
    <row r="1857" spans="14:17" ht="12.75">
      <c r="N1857" s="415"/>
      <c r="O1857" s="415"/>
      <c r="P1857" s="415"/>
      <c r="Q1857" s="415"/>
    </row>
    <row r="1858" spans="14:17" ht="12.75">
      <c r="N1858" s="415"/>
      <c r="O1858" s="415"/>
      <c r="P1858" s="415"/>
      <c r="Q1858" s="415"/>
    </row>
    <row r="1859" spans="14:17" ht="12.75">
      <c r="N1859" s="415"/>
      <c r="O1859" s="415"/>
      <c r="P1859" s="415"/>
      <c r="Q1859" s="415"/>
    </row>
    <row r="1860" spans="14:17" ht="12.75">
      <c r="N1860" s="415"/>
      <c r="O1860" s="415"/>
      <c r="P1860" s="415"/>
      <c r="Q1860" s="415"/>
    </row>
    <row r="1861" spans="14:17" ht="12.75">
      <c r="N1861" s="415"/>
      <c r="O1861" s="415"/>
      <c r="P1861" s="415"/>
      <c r="Q1861" s="415"/>
    </row>
    <row r="1862" spans="14:17" ht="12.75">
      <c r="N1862" s="415"/>
      <c r="O1862" s="415"/>
      <c r="P1862" s="415"/>
      <c r="Q1862" s="415"/>
    </row>
    <row r="1863" spans="14:17" ht="12.75">
      <c r="N1863" s="415"/>
      <c r="O1863" s="415"/>
      <c r="P1863" s="415"/>
      <c r="Q1863" s="415"/>
    </row>
    <row r="1864" spans="14:17" ht="12.75">
      <c r="N1864" s="415"/>
      <c r="O1864" s="415"/>
      <c r="P1864" s="415"/>
      <c r="Q1864" s="415"/>
    </row>
    <row r="1865" spans="14:17" ht="12.75">
      <c r="N1865" s="415"/>
      <c r="O1865" s="415"/>
      <c r="P1865" s="415"/>
      <c r="Q1865" s="415"/>
    </row>
    <row r="1866" spans="14:17" ht="12.75">
      <c r="N1866" s="415"/>
      <c r="O1866" s="415"/>
      <c r="P1866" s="415"/>
      <c r="Q1866" s="415"/>
    </row>
    <row r="1867" spans="14:17" ht="12.75">
      <c r="N1867" s="415"/>
      <c r="O1867" s="415"/>
      <c r="P1867" s="415"/>
      <c r="Q1867" s="415"/>
    </row>
    <row r="1868" spans="14:17" ht="12.75">
      <c r="N1868" s="415"/>
      <c r="O1868" s="415"/>
      <c r="P1868" s="415"/>
      <c r="Q1868" s="415"/>
    </row>
    <row r="1869" spans="14:17" ht="12.75">
      <c r="N1869" s="415"/>
      <c r="O1869" s="415"/>
      <c r="P1869" s="415"/>
      <c r="Q1869" s="415"/>
    </row>
    <row r="1870" spans="14:17" ht="12.75">
      <c r="N1870" s="415"/>
      <c r="O1870" s="415"/>
      <c r="P1870" s="415"/>
      <c r="Q1870" s="415"/>
    </row>
    <row r="1871" spans="14:17" ht="12.75">
      <c r="N1871" s="415"/>
      <c r="O1871" s="415"/>
      <c r="P1871" s="415"/>
      <c r="Q1871" s="415"/>
    </row>
    <row r="1872" spans="14:17" ht="12.75">
      <c r="N1872" s="415"/>
      <c r="O1872" s="415"/>
      <c r="P1872" s="415"/>
      <c r="Q1872" s="415"/>
    </row>
    <row r="1873" spans="14:17" ht="12.75">
      <c r="N1873" s="415"/>
      <c r="O1873" s="415"/>
      <c r="P1873" s="415"/>
      <c r="Q1873" s="415"/>
    </row>
    <row r="1874" spans="14:17" ht="12.75">
      <c r="N1874" s="415"/>
      <c r="O1874" s="415"/>
      <c r="P1874" s="415"/>
      <c r="Q1874" s="415"/>
    </row>
    <row r="1875" spans="14:17" ht="12.75">
      <c r="N1875" s="415"/>
      <c r="O1875" s="415"/>
      <c r="P1875" s="415"/>
      <c r="Q1875" s="415"/>
    </row>
    <row r="1876" spans="14:17" ht="12.75">
      <c r="N1876" s="415"/>
      <c r="O1876" s="415"/>
      <c r="P1876" s="415"/>
      <c r="Q1876" s="415"/>
    </row>
    <row r="1877" spans="14:17" ht="12.75">
      <c r="N1877" s="415"/>
      <c r="O1877" s="415"/>
      <c r="P1877" s="415"/>
      <c r="Q1877" s="415"/>
    </row>
    <row r="1878" spans="14:17" ht="12.75">
      <c r="N1878" s="415"/>
      <c r="O1878" s="415"/>
      <c r="P1878" s="415"/>
      <c r="Q1878" s="415"/>
    </row>
    <row r="1879" spans="14:17" ht="12.75">
      <c r="N1879" s="415"/>
      <c r="O1879" s="415"/>
      <c r="P1879" s="415"/>
      <c r="Q1879" s="415"/>
    </row>
    <row r="1880" spans="14:17" ht="12.75">
      <c r="N1880" s="415"/>
      <c r="O1880" s="415"/>
      <c r="P1880" s="415"/>
      <c r="Q1880" s="415"/>
    </row>
    <row r="1881" spans="14:17" ht="12.75">
      <c r="N1881" s="415"/>
      <c r="O1881" s="415"/>
      <c r="P1881" s="415"/>
      <c r="Q1881" s="415"/>
    </row>
    <row r="1882" spans="14:17" ht="12.75">
      <c r="N1882" s="415"/>
      <c r="O1882" s="415"/>
      <c r="P1882" s="415"/>
      <c r="Q1882" s="415"/>
    </row>
    <row r="1883" spans="14:17" ht="12.75">
      <c r="N1883" s="415"/>
      <c r="O1883" s="415"/>
      <c r="P1883" s="415"/>
      <c r="Q1883" s="415"/>
    </row>
    <row r="1884" spans="14:17" ht="12.75">
      <c r="N1884" s="415"/>
      <c r="O1884" s="415"/>
      <c r="P1884" s="415"/>
      <c r="Q1884" s="415"/>
    </row>
    <row r="1885" spans="14:17" ht="12.75">
      <c r="N1885" s="415"/>
      <c r="O1885" s="415"/>
      <c r="P1885" s="415"/>
      <c r="Q1885" s="415"/>
    </row>
    <row r="1886" spans="14:17" ht="12.75">
      <c r="N1886" s="415"/>
      <c r="O1886" s="415"/>
      <c r="P1886" s="415"/>
      <c r="Q1886" s="415"/>
    </row>
    <row r="1887" spans="14:17" ht="12.75">
      <c r="N1887" s="415"/>
      <c r="O1887" s="415"/>
      <c r="P1887" s="415"/>
      <c r="Q1887" s="415"/>
    </row>
    <row r="1888" spans="14:17" ht="12.75">
      <c r="N1888" s="415"/>
      <c r="O1888" s="415"/>
      <c r="P1888" s="415"/>
      <c r="Q1888" s="415"/>
    </row>
    <row r="1889" spans="14:17" ht="12.75">
      <c r="N1889" s="415"/>
      <c r="O1889" s="415"/>
      <c r="P1889" s="415"/>
      <c r="Q1889" s="415"/>
    </row>
    <row r="1890" spans="14:17" ht="12.75">
      <c r="N1890" s="415"/>
      <c r="O1890" s="415"/>
      <c r="P1890" s="415"/>
      <c r="Q1890" s="415"/>
    </row>
    <row r="1891" spans="14:17" ht="12.75">
      <c r="N1891" s="415"/>
      <c r="O1891" s="415"/>
      <c r="P1891" s="415"/>
      <c r="Q1891" s="415"/>
    </row>
    <row r="1892" spans="14:17" ht="12.75">
      <c r="N1892" s="415"/>
      <c r="O1892" s="415"/>
      <c r="P1892" s="415"/>
      <c r="Q1892" s="415"/>
    </row>
    <row r="1893" spans="14:17" ht="12.75">
      <c r="N1893" s="415"/>
      <c r="O1893" s="415"/>
      <c r="P1893" s="415"/>
      <c r="Q1893" s="415"/>
    </row>
    <row r="1894" spans="14:17" ht="12.75">
      <c r="N1894" s="415"/>
      <c r="O1894" s="415"/>
      <c r="P1894" s="415"/>
      <c r="Q1894" s="415"/>
    </row>
    <row r="1895" spans="14:17" ht="12.75">
      <c r="N1895" s="415"/>
      <c r="O1895" s="415"/>
      <c r="P1895" s="415"/>
      <c r="Q1895" s="415"/>
    </row>
    <row r="1896" spans="14:17" ht="12.75">
      <c r="N1896" s="415"/>
      <c r="O1896" s="415"/>
      <c r="P1896" s="415"/>
      <c r="Q1896" s="415"/>
    </row>
    <row r="1897" spans="14:17" ht="12.75">
      <c r="N1897" s="415"/>
      <c r="O1897" s="415"/>
      <c r="P1897" s="415"/>
      <c r="Q1897" s="415"/>
    </row>
    <row r="1898" spans="14:17" ht="12.75">
      <c r="N1898" s="415"/>
      <c r="O1898" s="415"/>
      <c r="P1898" s="415"/>
      <c r="Q1898" s="415"/>
    </row>
    <row r="1899" spans="14:17" ht="12.75">
      <c r="N1899" s="415"/>
      <c r="O1899" s="415"/>
      <c r="P1899" s="415"/>
      <c r="Q1899" s="415"/>
    </row>
    <row r="1900" spans="14:17" ht="12.75">
      <c r="N1900" s="415"/>
      <c r="O1900" s="415"/>
      <c r="P1900" s="415"/>
      <c r="Q1900" s="415"/>
    </row>
    <row r="1901" spans="14:17" ht="12.75">
      <c r="N1901" s="415"/>
      <c r="O1901" s="415"/>
      <c r="P1901" s="415"/>
      <c r="Q1901" s="415"/>
    </row>
    <row r="1902" spans="14:17" ht="12.75">
      <c r="N1902" s="415"/>
      <c r="O1902" s="415"/>
      <c r="P1902" s="415"/>
      <c r="Q1902" s="415"/>
    </row>
    <row r="1903" spans="14:17" ht="12.75">
      <c r="N1903" s="415"/>
      <c r="O1903" s="415"/>
      <c r="P1903" s="415"/>
      <c r="Q1903" s="415"/>
    </row>
    <row r="1904" spans="14:17" ht="12.75">
      <c r="N1904" s="415"/>
      <c r="O1904" s="415"/>
      <c r="P1904" s="415"/>
      <c r="Q1904" s="415"/>
    </row>
    <row r="1905" spans="14:17" ht="12.75">
      <c r="N1905" s="415"/>
      <c r="O1905" s="415"/>
      <c r="P1905" s="415"/>
      <c r="Q1905" s="415"/>
    </row>
    <row r="1906" spans="14:17" ht="12.75">
      <c r="N1906" s="415"/>
      <c r="O1906" s="415"/>
      <c r="P1906" s="415"/>
      <c r="Q1906" s="415"/>
    </row>
    <row r="1907" spans="14:17" ht="12.75">
      <c r="N1907" s="415"/>
      <c r="O1907" s="415"/>
      <c r="P1907" s="415"/>
      <c r="Q1907" s="415"/>
    </row>
    <row r="1908" spans="14:17" ht="12.75">
      <c r="N1908" s="415"/>
      <c r="O1908" s="415"/>
      <c r="P1908" s="415"/>
      <c r="Q1908" s="415"/>
    </row>
    <row r="1909" spans="14:17" ht="12.75">
      <c r="N1909" s="415"/>
      <c r="O1909" s="415"/>
      <c r="P1909" s="415"/>
      <c r="Q1909" s="415"/>
    </row>
    <row r="1910" spans="14:17" ht="12.75">
      <c r="N1910" s="415"/>
      <c r="O1910" s="415"/>
      <c r="P1910" s="415"/>
      <c r="Q1910" s="415"/>
    </row>
    <row r="1911" spans="14:17" ht="12.75">
      <c r="N1911" s="415"/>
      <c r="O1911" s="415"/>
      <c r="P1911" s="415"/>
      <c r="Q1911" s="415"/>
    </row>
    <row r="1912" spans="14:17" ht="12.75">
      <c r="N1912" s="415"/>
      <c r="O1912" s="415"/>
      <c r="P1912" s="415"/>
      <c r="Q1912" s="415"/>
    </row>
    <row r="1913" spans="14:17" ht="12.75">
      <c r="N1913" s="415"/>
      <c r="O1913" s="415"/>
      <c r="P1913" s="415"/>
      <c r="Q1913" s="415"/>
    </row>
    <row r="1914" spans="14:17" ht="12.75">
      <c r="N1914" s="415"/>
      <c r="O1914" s="415"/>
      <c r="P1914" s="415"/>
      <c r="Q1914" s="415"/>
    </row>
    <row r="1915" spans="14:17" ht="12.75">
      <c r="N1915" s="415"/>
      <c r="O1915" s="415"/>
      <c r="P1915" s="415"/>
      <c r="Q1915" s="415"/>
    </row>
    <row r="1916" spans="14:17" ht="12.75">
      <c r="N1916" s="415"/>
      <c r="O1916" s="415"/>
      <c r="P1916" s="415"/>
      <c r="Q1916" s="415"/>
    </row>
    <row r="1917" spans="14:17" ht="12.75">
      <c r="N1917" s="415"/>
      <c r="O1917" s="415"/>
      <c r="P1917" s="415"/>
      <c r="Q1917" s="415"/>
    </row>
    <row r="1918" spans="14:17" ht="12.75">
      <c r="N1918" s="415"/>
      <c r="O1918" s="415"/>
      <c r="P1918" s="415"/>
      <c r="Q1918" s="415"/>
    </row>
    <row r="1919" spans="14:17" ht="12.75">
      <c r="N1919" s="415"/>
      <c r="O1919" s="415"/>
      <c r="P1919" s="415"/>
      <c r="Q1919" s="415"/>
    </row>
    <row r="1920" spans="14:17" ht="12.75">
      <c r="N1920" s="415"/>
      <c r="O1920" s="415"/>
      <c r="P1920" s="415"/>
      <c r="Q1920" s="415"/>
    </row>
    <row r="1921" spans="14:17" ht="12.75">
      <c r="N1921" s="415"/>
      <c r="O1921" s="415"/>
      <c r="P1921" s="415"/>
      <c r="Q1921" s="415"/>
    </row>
    <row r="1922" spans="14:17" ht="12.75">
      <c r="N1922" s="415"/>
      <c r="O1922" s="415"/>
      <c r="P1922" s="415"/>
      <c r="Q1922" s="415"/>
    </row>
    <row r="1923" spans="14:17" ht="12.75">
      <c r="N1923" s="415"/>
      <c r="O1923" s="415"/>
      <c r="P1923" s="415"/>
      <c r="Q1923" s="415"/>
    </row>
    <row r="1924" spans="14:17" ht="12.75">
      <c r="N1924" s="415"/>
      <c r="O1924" s="415"/>
      <c r="P1924" s="415"/>
      <c r="Q1924" s="415"/>
    </row>
    <row r="1925" spans="14:17" ht="12.75">
      <c r="N1925" s="415"/>
      <c r="O1925" s="415"/>
      <c r="P1925" s="415"/>
      <c r="Q1925" s="415"/>
    </row>
    <row r="1926" spans="14:17" ht="12.75">
      <c r="N1926" s="415"/>
      <c r="O1926" s="415"/>
      <c r="P1926" s="415"/>
      <c r="Q1926" s="415"/>
    </row>
    <row r="1927" spans="14:17" ht="12.75">
      <c r="N1927" s="415"/>
      <c r="O1927" s="415"/>
      <c r="P1927" s="415"/>
      <c r="Q1927" s="415"/>
    </row>
    <row r="1928" spans="14:17" ht="12.75">
      <c r="N1928" s="415"/>
      <c r="O1928" s="415"/>
      <c r="P1928" s="415"/>
      <c r="Q1928" s="415"/>
    </row>
    <row r="1929" spans="14:17" ht="12.75">
      <c r="N1929" s="415"/>
      <c r="O1929" s="415"/>
      <c r="P1929" s="415"/>
      <c r="Q1929" s="415"/>
    </row>
    <row r="1930" spans="14:17" ht="12.75">
      <c r="N1930" s="415"/>
      <c r="O1930" s="415"/>
      <c r="P1930" s="415"/>
      <c r="Q1930" s="415"/>
    </row>
    <row r="1931" spans="14:17" ht="12.75">
      <c r="N1931" s="415"/>
      <c r="O1931" s="415"/>
      <c r="P1931" s="415"/>
      <c r="Q1931" s="415"/>
    </row>
    <row r="1932" spans="14:17" ht="12.75">
      <c r="N1932" s="415"/>
      <c r="O1932" s="415"/>
      <c r="P1932" s="415"/>
      <c r="Q1932" s="415"/>
    </row>
    <row r="1933" spans="14:17" ht="12.75">
      <c r="N1933" s="415"/>
      <c r="O1933" s="415"/>
      <c r="P1933" s="415"/>
      <c r="Q1933" s="415"/>
    </row>
    <row r="1934" spans="14:17" ht="12.75">
      <c r="N1934" s="415"/>
      <c r="O1934" s="415"/>
      <c r="P1934" s="415"/>
      <c r="Q1934" s="415"/>
    </row>
    <row r="1935" spans="14:17" ht="12.75">
      <c r="N1935" s="415"/>
      <c r="O1935" s="415"/>
      <c r="P1935" s="415"/>
      <c r="Q1935" s="415"/>
    </row>
    <row r="1936" spans="14:17" ht="12.75">
      <c r="N1936" s="415"/>
      <c r="O1936" s="415"/>
      <c r="P1936" s="415"/>
      <c r="Q1936" s="415"/>
    </row>
    <row r="1937" spans="14:17" ht="12.75">
      <c r="N1937" s="415"/>
      <c r="O1937" s="415"/>
      <c r="P1937" s="415"/>
      <c r="Q1937" s="415"/>
    </row>
    <row r="1938" spans="14:17" ht="12.75">
      <c r="N1938" s="415"/>
      <c r="O1938" s="415"/>
      <c r="P1938" s="415"/>
      <c r="Q1938" s="415"/>
    </row>
    <row r="1939" spans="14:17" ht="12.75">
      <c r="N1939" s="415"/>
      <c r="O1939" s="415"/>
      <c r="P1939" s="415"/>
      <c r="Q1939" s="415"/>
    </row>
    <row r="1940" spans="14:17" ht="12.75">
      <c r="N1940" s="415"/>
      <c r="O1940" s="415"/>
      <c r="P1940" s="415"/>
      <c r="Q1940" s="415"/>
    </row>
    <row r="1941" spans="14:17" ht="12.75">
      <c r="N1941" s="415"/>
      <c r="O1941" s="415"/>
      <c r="P1941" s="415"/>
      <c r="Q1941" s="415"/>
    </row>
    <row r="1942" spans="14:17" ht="12.75">
      <c r="N1942" s="415"/>
      <c r="O1942" s="415"/>
      <c r="P1942" s="415"/>
      <c r="Q1942" s="415"/>
    </row>
    <row r="1943" spans="14:17" ht="12.75">
      <c r="N1943" s="415"/>
      <c r="O1943" s="415"/>
      <c r="P1943" s="415"/>
      <c r="Q1943" s="415"/>
    </row>
    <row r="1944" spans="14:17" ht="12.75">
      <c r="N1944" s="415"/>
      <c r="O1944" s="415"/>
      <c r="P1944" s="415"/>
      <c r="Q1944" s="415"/>
    </row>
    <row r="1945" spans="14:17" ht="12.75">
      <c r="N1945" s="415"/>
      <c r="O1945" s="415"/>
      <c r="P1945" s="415"/>
      <c r="Q1945" s="415"/>
    </row>
    <row r="1946" spans="14:17" ht="12.75">
      <c r="N1946" s="415"/>
      <c r="O1946" s="415"/>
      <c r="P1946" s="415"/>
      <c r="Q1946" s="415"/>
    </row>
    <row r="1947" spans="14:17" ht="12.75">
      <c r="N1947" s="415"/>
      <c r="O1947" s="415"/>
      <c r="P1947" s="415"/>
      <c r="Q1947" s="415"/>
    </row>
    <row r="1948" spans="14:17" ht="12.75">
      <c r="N1948" s="415"/>
      <c r="O1948" s="415"/>
      <c r="P1948" s="415"/>
      <c r="Q1948" s="415"/>
    </row>
    <row r="1949" spans="14:17" ht="12.75">
      <c r="N1949" s="415"/>
      <c r="O1949" s="415"/>
      <c r="P1949" s="415"/>
      <c r="Q1949" s="415"/>
    </row>
    <row r="1950" spans="14:17" ht="12.75">
      <c r="N1950" s="415"/>
      <c r="O1950" s="415"/>
      <c r="P1950" s="415"/>
      <c r="Q1950" s="415"/>
    </row>
    <row r="1951" spans="14:17" ht="12.75">
      <c r="N1951" s="415"/>
      <c r="O1951" s="415"/>
      <c r="P1951" s="415"/>
      <c r="Q1951" s="415"/>
    </row>
    <row r="1952" spans="14:17" ht="12.75">
      <c r="N1952" s="415"/>
      <c r="O1952" s="415"/>
      <c r="P1952" s="415"/>
      <c r="Q1952" s="415"/>
    </row>
    <row r="1953" spans="14:17" ht="12.75">
      <c r="N1953" s="415"/>
      <c r="O1953" s="415"/>
      <c r="P1953" s="415"/>
      <c r="Q1953" s="415"/>
    </row>
    <row r="1954" spans="14:17" ht="12.75">
      <c r="N1954" s="415"/>
      <c r="O1954" s="415"/>
      <c r="P1954" s="415"/>
      <c r="Q1954" s="415"/>
    </row>
    <row r="1955" spans="14:17" ht="12.75">
      <c r="N1955" s="415"/>
      <c r="O1955" s="415"/>
      <c r="P1955" s="415"/>
      <c r="Q1955" s="415"/>
    </row>
    <row r="1956" spans="14:17" ht="12.75">
      <c r="N1956" s="415"/>
      <c r="O1956" s="415"/>
      <c r="P1956" s="415"/>
      <c r="Q1956" s="415"/>
    </row>
    <row r="1957" spans="14:17" ht="12.75">
      <c r="N1957" s="415"/>
      <c r="O1957" s="415"/>
      <c r="P1957" s="415"/>
      <c r="Q1957" s="415"/>
    </row>
    <row r="1958" spans="14:17" ht="12.75">
      <c r="N1958" s="415"/>
      <c r="O1958" s="415"/>
      <c r="P1958" s="415"/>
      <c r="Q1958" s="415"/>
    </row>
    <row r="1959" spans="14:17" ht="12.75">
      <c r="N1959" s="415"/>
      <c r="O1959" s="415"/>
      <c r="P1959" s="415"/>
      <c r="Q1959" s="415"/>
    </row>
    <row r="1960" spans="14:17" ht="12.75">
      <c r="N1960" s="415"/>
      <c r="O1960" s="415"/>
      <c r="P1960" s="415"/>
      <c r="Q1960" s="415"/>
    </row>
    <row r="1961" spans="14:17" ht="12.75">
      <c r="N1961" s="415"/>
      <c r="O1961" s="415"/>
      <c r="P1961" s="415"/>
      <c r="Q1961" s="415"/>
    </row>
    <row r="1962" spans="14:17" ht="12.75">
      <c r="N1962" s="415"/>
      <c r="O1962" s="415"/>
      <c r="P1962" s="415"/>
      <c r="Q1962" s="415"/>
    </row>
    <row r="1963" spans="14:17" ht="12.75">
      <c r="N1963" s="415"/>
      <c r="O1963" s="415"/>
      <c r="P1963" s="415"/>
      <c r="Q1963" s="415"/>
    </row>
    <row r="1964" spans="14:17" ht="12.75">
      <c r="N1964" s="415"/>
      <c r="O1964" s="415"/>
      <c r="P1964" s="415"/>
      <c r="Q1964" s="415"/>
    </row>
    <row r="1965" spans="14:17" ht="12.75">
      <c r="N1965" s="415"/>
      <c r="O1965" s="415"/>
      <c r="P1965" s="415"/>
      <c r="Q1965" s="415"/>
    </row>
    <row r="1966" spans="14:17" ht="12.75">
      <c r="N1966" s="415"/>
      <c r="O1966" s="415"/>
      <c r="P1966" s="415"/>
      <c r="Q1966" s="415"/>
    </row>
    <row r="1967" spans="14:17" ht="12.75">
      <c r="N1967" s="415"/>
      <c r="O1967" s="415"/>
      <c r="P1967" s="415"/>
      <c r="Q1967" s="415"/>
    </row>
    <row r="1968" spans="14:17" ht="12.75">
      <c r="N1968" s="415"/>
      <c r="O1968" s="415"/>
      <c r="P1968" s="415"/>
      <c r="Q1968" s="415"/>
    </row>
    <row r="1969" spans="14:17" ht="12.75">
      <c r="N1969" s="415"/>
      <c r="O1969" s="415"/>
      <c r="P1969" s="415"/>
      <c r="Q1969" s="415"/>
    </row>
    <row r="1970" spans="14:17" ht="12.75">
      <c r="N1970" s="415"/>
      <c r="O1970" s="415"/>
      <c r="P1970" s="415"/>
      <c r="Q1970" s="415"/>
    </row>
    <row r="1971" spans="14:17" ht="12.75">
      <c r="N1971" s="415"/>
      <c r="O1971" s="415"/>
      <c r="P1971" s="415"/>
      <c r="Q1971" s="415"/>
    </row>
    <row r="1972" spans="14:17" ht="12.75">
      <c r="N1972" s="415"/>
      <c r="O1972" s="415"/>
      <c r="P1972" s="415"/>
      <c r="Q1972" s="415"/>
    </row>
    <row r="1973" spans="14:17" ht="12.75">
      <c r="N1973" s="415"/>
      <c r="O1973" s="415"/>
      <c r="P1973" s="415"/>
      <c r="Q1973" s="415"/>
    </row>
    <row r="1974" spans="14:17" ht="12.75">
      <c r="N1974" s="415"/>
      <c r="O1974" s="415"/>
      <c r="P1974" s="415"/>
      <c r="Q1974" s="415"/>
    </row>
    <row r="1975" spans="14:17" ht="12.75">
      <c r="N1975" s="415"/>
      <c r="O1975" s="415"/>
      <c r="P1975" s="415"/>
      <c r="Q1975" s="415"/>
    </row>
    <row r="1976" spans="14:17" ht="12.75">
      <c r="N1976" s="415"/>
      <c r="O1976" s="415"/>
      <c r="P1976" s="415"/>
      <c r="Q1976" s="415"/>
    </row>
    <row r="1977" spans="14:17" ht="12.75">
      <c r="N1977" s="415"/>
      <c r="O1977" s="415"/>
      <c r="P1977" s="415"/>
      <c r="Q1977" s="415"/>
    </row>
    <row r="1978" spans="14:17" ht="12.75">
      <c r="N1978" s="415"/>
      <c r="O1978" s="415"/>
      <c r="P1978" s="415"/>
      <c r="Q1978" s="415"/>
    </row>
    <row r="1979" spans="14:17" ht="12.75">
      <c r="N1979" s="415"/>
      <c r="O1979" s="415"/>
      <c r="P1979" s="415"/>
      <c r="Q1979" s="415"/>
    </row>
    <row r="1980" spans="14:17" ht="12.75">
      <c r="N1980" s="415"/>
      <c r="O1980" s="415"/>
      <c r="P1980" s="415"/>
      <c r="Q1980" s="415"/>
    </row>
    <row r="1981" spans="14:17" ht="12.75">
      <c r="N1981" s="415"/>
      <c r="O1981" s="415"/>
      <c r="P1981" s="415"/>
      <c r="Q1981" s="415"/>
    </row>
    <row r="1982" spans="14:17" ht="12.75">
      <c r="N1982" s="415"/>
      <c r="O1982" s="415"/>
      <c r="P1982" s="415"/>
      <c r="Q1982" s="415"/>
    </row>
    <row r="1983" spans="14:17" ht="12.75">
      <c r="N1983" s="415"/>
      <c r="O1983" s="415"/>
      <c r="P1983" s="415"/>
      <c r="Q1983" s="415"/>
    </row>
    <row r="1984" spans="14:17" ht="12.75">
      <c r="N1984" s="415"/>
      <c r="O1984" s="415"/>
      <c r="P1984" s="415"/>
      <c r="Q1984" s="415"/>
    </row>
    <row r="1985" spans="14:17" ht="12.75">
      <c r="N1985" s="415"/>
      <c r="O1985" s="415"/>
      <c r="P1985" s="415"/>
      <c r="Q1985" s="415"/>
    </row>
    <row r="1986" spans="14:17" ht="12.75">
      <c r="N1986" s="415"/>
      <c r="O1986" s="415"/>
      <c r="P1986" s="415"/>
      <c r="Q1986" s="415"/>
    </row>
    <row r="1987" spans="14:17" ht="12.75">
      <c r="N1987" s="415"/>
      <c r="O1987" s="415"/>
      <c r="P1987" s="415"/>
      <c r="Q1987" s="415"/>
    </row>
    <row r="1988" spans="14:17" ht="12.75">
      <c r="N1988" s="415"/>
      <c r="O1988" s="415"/>
      <c r="P1988" s="415"/>
      <c r="Q1988" s="415"/>
    </row>
    <row r="1989" spans="14:17" ht="12.75">
      <c r="N1989" s="415"/>
      <c r="O1989" s="415"/>
      <c r="P1989" s="415"/>
      <c r="Q1989" s="415"/>
    </row>
    <row r="1990" spans="14:17" ht="12.75">
      <c r="N1990" s="415"/>
      <c r="O1990" s="415"/>
      <c r="P1990" s="415"/>
      <c r="Q1990" s="415"/>
    </row>
    <row r="1991" spans="14:17" ht="12.75">
      <c r="N1991" s="415"/>
      <c r="O1991" s="415"/>
      <c r="P1991" s="415"/>
      <c r="Q1991" s="415"/>
    </row>
    <row r="1992" spans="14:17" ht="12.75">
      <c r="N1992" s="415"/>
      <c r="O1992" s="415"/>
      <c r="P1992" s="415"/>
      <c r="Q1992" s="415"/>
    </row>
    <row r="1993" spans="14:17" ht="12.75">
      <c r="N1993" s="415"/>
      <c r="O1993" s="415"/>
      <c r="P1993" s="415"/>
      <c r="Q1993" s="415"/>
    </row>
    <row r="1994" spans="14:17" ht="12.75">
      <c r="N1994" s="415"/>
      <c r="O1994" s="415"/>
      <c r="P1994" s="415"/>
      <c r="Q1994" s="415"/>
    </row>
    <row r="1995" spans="14:17" ht="12.75">
      <c r="N1995" s="415"/>
      <c r="O1995" s="415"/>
      <c r="P1995" s="415"/>
      <c r="Q1995" s="415"/>
    </row>
    <row r="1996" spans="14:17" ht="12.75">
      <c r="N1996" s="415"/>
      <c r="O1996" s="415"/>
      <c r="P1996" s="415"/>
      <c r="Q1996" s="415"/>
    </row>
    <row r="1997" spans="14:17" ht="12.75">
      <c r="N1997" s="415"/>
      <c r="O1997" s="415"/>
      <c r="P1997" s="415"/>
      <c r="Q1997" s="415"/>
    </row>
    <row r="1998" spans="14:17" ht="12.75">
      <c r="N1998" s="415"/>
      <c r="O1998" s="415"/>
      <c r="P1998" s="415"/>
      <c r="Q1998" s="415"/>
    </row>
    <row r="1999" spans="14:17" ht="12.75">
      <c r="N1999" s="415"/>
      <c r="O1999" s="415"/>
      <c r="P1999" s="415"/>
      <c r="Q1999" s="415"/>
    </row>
    <row r="2000" spans="14:17" ht="12.75">
      <c r="N2000" s="415"/>
      <c r="O2000" s="415"/>
      <c r="P2000" s="415"/>
      <c r="Q2000" s="415"/>
    </row>
    <row r="2001" spans="14:17" ht="12.75">
      <c r="N2001" s="415"/>
      <c r="O2001" s="415"/>
      <c r="P2001" s="415"/>
      <c r="Q2001" s="415"/>
    </row>
    <row r="2002" spans="14:17" ht="12.75">
      <c r="N2002" s="415"/>
      <c r="O2002" s="415"/>
      <c r="P2002" s="415"/>
      <c r="Q2002" s="415"/>
    </row>
    <row r="2003" spans="14:17" ht="12.75">
      <c r="N2003" s="415"/>
      <c r="O2003" s="415"/>
      <c r="P2003" s="415"/>
      <c r="Q2003" s="415"/>
    </row>
    <row r="2004" spans="14:17" ht="12.75">
      <c r="N2004" s="415"/>
      <c r="O2004" s="415"/>
      <c r="P2004" s="415"/>
      <c r="Q2004" s="415"/>
    </row>
    <row r="2005" spans="14:17" ht="12.75">
      <c r="N2005" s="415"/>
      <c r="O2005" s="415"/>
      <c r="P2005" s="415"/>
      <c r="Q2005" s="415"/>
    </row>
    <row r="2006" spans="14:17" ht="12.75">
      <c r="N2006" s="415"/>
      <c r="O2006" s="415"/>
      <c r="P2006" s="415"/>
      <c r="Q2006" s="415"/>
    </row>
    <row r="2007" spans="14:17" ht="12.75">
      <c r="N2007" s="415"/>
      <c r="O2007" s="415"/>
      <c r="P2007" s="415"/>
      <c r="Q2007" s="415"/>
    </row>
    <row r="2008" spans="14:17" ht="12.75">
      <c r="N2008" s="415"/>
      <c r="O2008" s="415"/>
      <c r="P2008" s="415"/>
      <c r="Q2008" s="415"/>
    </row>
    <row r="2009" spans="14:17" ht="12.75">
      <c r="N2009" s="415"/>
      <c r="O2009" s="415"/>
      <c r="P2009" s="415"/>
      <c r="Q2009" s="415"/>
    </row>
    <row r="2010" spans="14:17" ht="12.75">
      <c r="N2010" s="415"/>
      <c r="O2010" s="415"/>
      <c r="P2010" s="415"/>
      <c r="Q2010" s="415"/>
    </row>
    <row r="2011" spans="14:17" ht="12.75">
      <c r="N2011" s="415"/>
      <c r="O2011" s="415"/>
      <c r="P2011" s="415"/>
      <c r="Q2011" s="415"/>
    </row>
    <row r="2012" spans="14:17" ht="12.75">
      <c r="N2012" s="415"/>
      <c r="O2012" s="415"/>
      <c r="P2012" s="415"/>
      <c r="Q2012" s="415"/>
    </row>
    <row r="2013" spans="14:17" ht="12.75">
      <c r="N2013" s="415"/>
      <c r="O2013" s="415"/>
      <c r="P2013" s="415"/>
      <c r="Q2013" s="415"/>
    </row>
    <row r="2014" spans="14:17" ht="12.75">
      <c r="N2014" s="415"/>
      <c r="O2014" s="415"/>
      <c r="P2014" s="415"/>
      <c r="Q2014" s="415"/>
    </row>
    <row r="2015" spans="14:17" ht="12.75">
      <c r="N2015" s="415"/>
      <c r="O2015" s="415"/>
      <c r="P2015" s="415"/>
      <c r="Q2015" s="415"/>
    </row>
    <row r="2016" spans="14:17" ht="12.75">
      <c r="N2016" s="415"/>
      <c r="O2016" s="415"/>
      <c r="P2016" s="415"/>
      <c r="Q2016" s="415"/>
    </row>
    <row r="2017" spans="14:17" ht="12.75">
      <c r="N2017" s="415"/>
      <c r="O2017" s="415"/>
      <c r="P2017" s="415"/>
      <c r="Q2017" s="415"/>
    </row>
    <row r="2018" spans="14:17" ht="12.75">
      <c r="N2018" s="415"/>
      <c r="O2018" s="415"/>
      <c r="P2018" s="415"/>
      <c r="Q2018" s="415"/>
    </row>
    <row r="2019" spans="14:17" ht="12.75">
      <c r="N2019" s="415"/>
      <c r="O2019" s="415"/>
      <c r="P2019" s="415"/>
      <c r="Q2019" s="415"/>
    </row>
    <row r="2020" spans="14:17" ht="12.75">
      <c r="N2020" s="415"/>
      <c r="O2020" s="415"/>
      <c r="P2020" s="415"/>
      <c r="Q2020" s="415"/>
    </row>
    <row r="2021" spans="14:17" ht="12.75">
      <c r="N2021" s="415"/>
      <c r="O2021" s="415"/>
      <c r="P2021" s="415"/>
      <c r="Q2021" s="415"/>
    </row>
    <row r="2022" spans="14:17" ht="12.75">
      <c r="N2022" s="415"/>
      <c r="O2022" s="415"/>
      <c r="P2022" s="415"/>
      <c r="Q2022" s="415"/>
    </row>
    <row r="2023" spans="14:17" ht="12.75">
      <c r="N2023" s="415"/>
      <c r="O2023" s="415"/>
      <c r="P2023" s="415"/>
      <c r="Q2023" s="415"/>
    </row>
    <row r="2024" spans="14:17" ht="12.75">
      <c r="N2024" s="415"/>
      <c r="O2024" s="415"/>
      <c r="P2024" s="415"/>
      <c r="Q2024" s="415"/>
    </row>
    <row r="2025" spans="14:17" ht="12.75">
      <c r="N2025" s="415"/>
      <c r="O2025" s="415"/>
      <c r="P2025" s="415"/>
      <c r="Q2025" s="415"/>
    </row>
    <row r="2026" spans="14:17" ht="12.75">
      <c r="N2026" s="415"/>
      <c r="O2026" s="415"/>
      <c r="P2026" s="415"/>
      <c r="Q2026" s="415"/>
    </row>
    <row r="2027" spans="14:17" ht="12.75">
      <c r="N2027" s="415"/>
      <c r="O2027" s="415"/>
      <c r="P2027" s="415"/>
      <c r="Q2027" s="415"/>
    </row>
    <row r="2028" spans="14:17" ht="12.75">
      <c r="N2028" s="415"/>
      <c r="O2028" s="415"/>
      <c r="P2028" s="415"/>
      <c r="Q2028" s="415"/>
    </row>
    <row r="2029" spans="14:17" ht="12.75">
      <c r="N2029" s="415"/>
      <c r="O2029" s="415"/>
      <c r="P2029" s="415"/>
      <c r="Q2029" s="415"/>
    </row>
    <row r="2030" spans="14:17" ht="12.75">
      <c r="N2030" s="415"/>
      <c r="O2030" s="415"/>
      <c r="P2030" s="415"/>
      <c r="Q2030" s="415"/>
    </row>
    <row r="2031" spans="14:17" ht="12.75">
      <c r="N2031" s="415"/>
      <c r="O2031" s="415"/>
      <c r="P2031" s="415"/>
      <c r="Q2031" s="415"/>
    </row>
    <row r="2032" spans="14:17" ht="12.75">
      <c r="N2032" s="415"/>
      <c r="O2032" s="415"/>
      <c r="P2032" s="415"/>
      <c r="Q2032" s="415"/>
    </row>
    <row r="2033" spans="14:17" ht="12.75">
      <c r="N2033" s="415"/>
      <c r="O2033" s="415"/>
      <c r="P2033" s="415"/>
      <c r="Q2033" s="415"/>
    </row>
    <row r="2034" spans="14:17" ht="12.75">
      <c r="N2034" s="415"/>
      <c r="O2034" s="415"/>
      <c r="P2034" s="415"/>
      <c r="Q2034" s="415"/>
    </row>
    <row r="2035" spans="14:17" ht="12.75">
      <c r="N2035" s="415"/>
      <c r="O2035" s="415"/>
      <c r="P2035" s="415"/>
      <c r="Q2035" s="415"/>
    </row>
    <row r="2036" spans="14:17" ht="12.75">
      <c r="N2036" s="415"/>
      <c r="O2036" s="415"/>
      <c r="P2036" s="415"/>
      <c r="Q2036" s="415"/>
    </row>
    <row r="2037" spans="14:17" ht="12.75">
      <c r="N2037" s="415"/>
      <c r="O2037" s="415"/>
      <c r="P2037" s="415"/>
      <c r="Q2037" s="415"/>
    </row>
    <row r="2038" spans="14:17" ht="12.75">
      <c r="N2038" s="415"/>
      <c r="O2038" s="415"/>
      <c r="P2038" s="415"/>
      <c r="Q2038" s="415"/>
    </row>
    <row r="2039" spans="14:17" ht="12.75">
      <c r="N2039" s="415"/>
      <c r="O2039" s="415"/>
      <c r="P2039" s="415"/>
      <c r="Q2039" s="415"/>
    </row>
    <row r="2040" spans="14:17" ht="12.75">
      <c r="N2040" s="415"/>
      <c r="O2040" s="415"/>
      <c r="P2040" s="415"/>
      <c r="Q2040" s="415"/>
    </row>
    <row r="2041" spans="14:17" ht="12.75">
      <c r="N2041" s="415"/>
      <c r="O2041" s="415"/>
      <c r="P2041" s="415"/>
      <c r="Q2041" s="415"/>
    </row>
    <row r="2042" spans="14:17" ht="12.75">
      <c r="N2042" s="415"/>
      <c r="O2042" s="415"/>
      <c r="P2042" s="415"/>
      <c r="Q2042" s="415"/>
    </row>
    <row r="2043" spans="14:17" ht="12.75">
      <c r="N2043" s="415"/>
      <c r="O2043" s="415"/>
      <c r="P2043" s="415"/>
      <c r="Q2043" s="415"/>
    </row>
    <row r="2044" spans="14:17" ht="12.75">
      <c r="N2044" s="415"/>
      <c r="O2044" s="415"/>
      <c r="P2044" s="415"/>
      <c r="Q2044" s="415"/>
    </row>
    <row r="2045" spans="14:17" ht="12.75">
      <c r="N2045" s="415"/>
      <c r="O2045" s="415"/>
      <c r="P2045" s="415"/>
      <c r="Q2045" s="415"/>
    </row>
    <row r="2046" spans="14:17" ht="12.75">
      <c r="N2046" s="415"/>
      <c r="O2046" s="415"/>
      <c r="P2046" s="415"/>
      <c r="Q2046" s="415"/>
    </row>
    <row r="2047" spans="14:17" ht="12.75">
      <c r="N2047" s="415"/>
      <c r="O2047" s="415"/>
      <c r="P2047" s="415"/>
      <c r="Q2047" s="415"/>
    </row>
    <row r="2048" spans="14:17" ht="12.75">
      <c r="N2048" s="415"/>
      <c r="O2048" s="415"/>
      <c r="P2048" s="415"/>
      <c r="Q2048" s="415"/>
    </row>
    <row r="2049" spans="14:17" ht="12.75">
      <c r="N2049" s="415"/>
      <c r="O2049" s="415"/>
      <c r="P2049" s="415"/>
      <c r="Q2049" s="415"/>
    </row>
    <row r="2050" spans="14:17" ht="12.75">
      <c r="N2050" s="415"/>
      <c r="O2050" s="415"/>
      <c r="P2050" s="415"/>
      <c r="Q2050" s="415"/>
    </row>
    <row r="2051" spans="14:17" ht="12.75">
      <c r="N2051" s="415"/>
      <c r="O2051" s="415"/>
      <c r="P2051" s="415"/>
      <c r="Q2051" s="415"/>
    </row>
    <row r="2052" spans="14:17" ht="12.75">
      <c r="N2052" s="415"/>
      <c r="O2052" s="415"/>
      <c r="P2052" s="415"/>
      <c r="Q2052" s="415"/>
    </row>
    <row r="2053" spans="14:17" ht="12.75">
      <c r="N2053" s="415"/>
      <c r="O2053" s="415"/>
      <c r="P2053" s="415"/>
      <c r="Q2053" s="415"/>
    </row>
    <row r="2054" spans="14:17" ht="12.75">
      <c r="N2054" s="415"/>
      <c r="O2054" s="415"/>
      <c r="P2054" s="415"/>
      <c r="Q2054" s="415"/>
    </row>
    <row r="2055" spans="14:17" ht="12.75">
      <c r="N2055" s="415"/>
      <c r="O2055" s="415"/>
      <c r="P2055" s="415"/>
      <c r="Q2055" s="415"/>
    </row>
    <row r="2056" spans="14:17" ht="12.75">
      <c r="N2056" s="415"/>
      <c r="O2056" s="415"/>
      <c r="P2056" s="415"/>
      <c r="Q2056" s="415"/>
    </row>
    <row r="2057" spans="14:17" ht="12.75">
      <c r="N2057" s="415"/>
      <c r="O2057" s="415"/>
      <c r="P2057" s="415"/>
      <c r="Q2057" s="415"/>
    </row>
    <row r="2058" spans="14:17" ht="12.75">
      <c r="N2058" s="415"/>
      <c r="O2058" s="415"/>
      <c r="P2058" s="415"/>
      <c r="Q2058" s="415"/>
    </row>
    <row r="2059" spans="14:17" ht="12.75">
      <c r="N2059" s="415"/>
      <c r="O2059" s="415"/>
      <c r="P2059" s="415"/>
      <c r="Q2059" s="415"/>
    </row>
    <row r="2060" spans="14:17" ht="12.75">
      <c r="N2060" s="415"/>
      <c r="O2060" s="415"/>
      <c r="P2060" s="415"/>
      <c r="Q2060" s="415"/>
    </row>
    <row r="2061" spans="14:17" ht="12.75">
      <c r="N2061" s="415"/>
      <c r="O2061" s="415"/>
      <c r="P2061" s="415"/>
      <c r="Q2061" s="415"/>
    </row>
    <row r="2062" spans="14:17" ht="12.75">
      <c r="N2062" s="415"/>
      <c r="O2062" s="415"/>
      <c r="P2062" s="415"/>
      <c r="Q2062" s="415"/>
    </row>
    <row r="2063" spans="14:17" ht="12.75">
      <c r="N2063" s="415"/>
      <c r="O2063" s="415"/>
      <c r="P2063" s="415"/>
      <c r="Q2063" s="415"/>
    </row>
    <row r="2064" spans="14:17" ht="12.75">
      <c r="N2064" s="415"/>
      <c r="O2064" s="415"/>
      <c r="P2064" s="415"/>
      <c r="Q2064" s="415"/>
    </row>
    <row r="2065" spans="14:17" ht="12.75">
      <c r="N2065" s="415"/>
      <c r="O2065" s="415"/>
      <c r="P2065" s="415"/>
      <c r="Q2065" s="415"/>
    </row>
    <row r="2066" spans="14:17" ht="12.75">
      <c r="N2066" s="415"/>
      <c r="O2066" s="415"/>
      <c r="P2066" s="415"/>
      <c r="Q2066" s="415"/>
    </row>
    <row r="2067" spans="14:17" ht="12.75">
      <c r="N2067" s="415"/>
      <c r="O2067" s="415"/>
      <c r="P2067" s="415"/>
      <c r="Q2067" s="415"/>
    </row>
    <row r="2068" spans="14:17" ht="12.75">
      <c r="N2068" s="415"/>
      <c r="O2068" s="415"/>
      <c r="P2068" s="415"/>
      <c r="Q2068" s="415"/>
    </row>
    <row r="2069" spans="14:17" ht="12.75">
      <c r="N2069" s="415"/>
      <c r="O2069" s="415"/>
      <c r="P2069" s="415"/>
      <c r="Q2069" s="415"/>
    </row>
    <row r="2070" spans="14:17" ht="12.75">
      <c r="N2070" s="415"/>
      <c r="O2070" s="415"/>
      <c r="P2070" s="415"/>
      <c r="Q2070" s="415"/>
    </row>
    <row r="2071" spans="14:17" ht="12.75">
      <c r="N2071" s="415"/>
      <c r="O2071" s="415"/>
      <c r="P2071" s="415"/>
      <c r="Q2071" s="415"/>
    </row>
    <row r="2072" spans="14:17" ht="12.75">
      <c r="N2072" s="415"/>
      <c r="O2072" s="415"/>
      <c r="P2072" s="415"/>
      <c r="Q2072" s="415"/>
    </row>
    <row r="2073" spans="14:17" ht="12.75">
      <c r="N2073" s="415"/>
      <c r="O2073" s="415"/>
      <c r="P2073" s="415"/>
      <c r="Q2073" s="415"/>
    </row>
    <row r="2074" spans="14:17" ht="12.75">
      <c r="N2074" s="415"/>
      <c r="O2074" s="415"/>
      <c r="P2074" s="415"/>
      <c r="Q2074" s="415"/>
    </row>
    <row r="2075" spans="14:17" ht="12.75">
      <c r="N2075" s="415"/>
      <c r="O2075" s="415"/>
      <c r="P2075" s="415"/>
      <c r="Q2075" s="415"/>
    </row>
    <row r="2076" spans="14:17" ht="12.75">
      <c r="N2076" s="415"/>
      <c r="O2076" s="415"/>
      <c r="P2076" s="415"/>
      <c r="Q2076" s="415"/>
    </row>
    <row r="2077" spans="14:17" ht="12.75">
      <c r="N2077" s="415"/>
      <c r="O2077" s="415"/>
      <c r="P2077" s="415"/>
      <c r="Q2077" s="415"/>
    </row>
    <row r="2078" spans="14:17" ht="12.75">
      <c r="N2078" s="415"/>
      <c r="O2078" s="415"/>
      <c r="P2078" s="415"/>
      <c r="Q2078" s="415"/>
    </row>
    <row r="2079" spans="14:17" ht="12.75">
      <c r="N2079" s="415"/>
      <c r="O2079" s="415"/>
      <c r="P2079" s="415"/>
      <c r="Q2079" s="415"/>
    </row>
    <row r="2080" spans="14:17" ht="12.75">
      <c r="N2080" s="415"/>
      <c r="O2080" s="415"/>
      <c r="P2080" s="415"/>
      <c r="Q2080" s="415"/>
    </row>
    <row r="2081" spans="14:17" ht="12.75">
      <c r="N2081" s="415"/>
      <c r="O2081" s="415"/>
      <c r="P2081" s="415"/>
      <c r="Q2081" s="415"/>
    </row>
    <row r="2082" spans="14:17" ht="12.75">
      <c r="N2082" s="415"/>
      <c r="O2082" s="415"/>
      <c r="P2082" s="415"/>
      <c r="Q2082" s="415"/>
    </row>
    <row r="2083" spans="14:17" ht="12.75">
      <c r="N2083" s="415"/>
      <c r="O2083" s="415"/>
      <c r="P2083" s="415"/>
      <c r="Q2083" s="415"/>
    </row>
    <row r="2084" spans="14:17" ht="12.75">
      <c r="N2084" s="415"/>
      <c r="O2084" s="415"/>
      <c r="P2084" s="415"/>
      <c r="Q2084" s="415"/>
    </row>
    <row r="2085" spans="14:17" ht="12.75">
      <c r="N2085" s="415"/>
      <c r="O2085" s="415"/>
      <c r="P2085" s="415"/>
      <c r="Q2085" s="415"/>
    </row>
    <row r="2086" spans="14:17" ht="12.75">
      <c r="N2086" s="415"/>
      <c r="O2086" s="415"/>
      <c r="P2086" s="415"/>
      <c r="Q2086" s="415"/>
    </row>
    <row r="2087" spans="14:17" ht="12.75">
      <c r="N2087" s="415"/>
      <c r="O2087" s="415"/>
      <c r="P2087" s="415"/>
      <c r="Q2087" s="415"/>
    </row>
    <row r="2088" spans="14:17" ht="12.75">
      <c r="N2088" s="415"/>
      <c r="O2088" s="415"/>
      <c r="P2088" s="415"/>
      <c r="Q2088" s="415"/>
    </row>
    <row r="2089" spans="14:17" ht="12.75">
      <c r="N2089" s="415"/>
      <c r="O2089" s="415"/>
      <c r="P2089" s="415"/>
      <c r="Q2089" s="415"/>
    </row>
    <row r="2090" spans="14:17" ht="12.75">
      <c r="N2090" s="415"/>
      <c r="O2090" s="415"/>
      <c r="P2090" s="415"/>
      <c r="Q2090" s="415"/>
    </row>
    <row r="2091" spans="14:17" ht="12.75">
      <c r="N2091" s="415"/>
      <c r="O2091" s="415"/>
      <c r="P2091" s="415"/>
      <c r="Q2091" s="415"/>
    </row>
    <row r="2092" spans="14:17" ht="12.75">
      <c r="N2092" s="415"/>
      <c r="O2092" s="415"/>
      <c r="P2092" s="415"/>
      <c r="Q2092" s="415"/>
    </row>
    <row r="2093" spans="14:17" ht="12.75">
      <c r="N2093" s="415"/>
      <c r="O2093" s="415"/>
      <c r="P2093" s="415"/>
      <c r="Q2093" s="415"/>
    </row>
    <row r="2094" spans="14:17" ht="12.75">
      <c r="N2094" s="415"/>
      <c r="O2094" s="415"/>
      <c r="P2094" s="415"/>
      <c r="Q2094" s="415"/>
    </row>
    <row r="2095" spans="14:17" ht="12.75">
      <c r="N2095" s="415"/>
      <c r="O2095" s="415"/>
      <c r="P2095" s="415"/>
      <c r="Q2095" s="415"/>
    </row>
    <row r="2096" spans="14:17" ht="12.75">
      <c r="N2096" s="415"/>
      <c r="O2096" s="415"/>
      <c r="P2096" s="415"/>
      <c r="Q2096" s="415"/>
    </row>
    <row r="2097" spans="14:17" ht="12.75">
      <c r="N2097" s="415"/>
      <c r="O2097" s="415"/>
      <c r="P2097" s="415"/>
      <c r="Q2097" s="415"/>
    </row>
    <row r="2098" spans="14:17" ht="12.75">
      <c r="N2098" s="415"/>
      <c r="O2098" s="415"/>
      <c r="P2098" s="415"/>
      <c r="Q2098" s="415"/>
    </row>
    <row r="2099" spans="14:17" ht="12.75">
      <c r="N2099" s="415"/>
      <c r="O2099" s="415"/>
      <c r="P2099" s="415"/>
      <c r="Q2099" s="415"/>
    </row>
    <row r="2100" spans="14:17" ht="12.75">
      <c r="N2100" s="415"/>
      <c r="O2100" s="415"/>
      <c r="P2100" s="415"/>
      <c r="Q2100" s="415"/>
    </row>
    <row r="2101" spans="14:17" ht="12.75">
      <c r="N2101" s="415"/>
      <c r="O2101" s="415"/>
      <c r="P2101" s="415"/>
      <c r="Q2101" s="415"/>
    </row>
    <row r="2102" spans="14:17" ht="12.75">
      <c r="N2102" s="415"/>
      <c r="O2102" s="415"/>
      <c r="P2102" s="415"/>
      <c r="Q2102" s="415"/>
    </row>
    <row r="2103" spans="14:17" ht="12.75">
      <c r="N2103" s="415"/>
      <c r="O2103" s="415"/>
      <c r="P2103" s="415"/>
      <c r="Q2103" s="415"/>
    </row>
    <row r="2104" spans="14:17" ht="12.75">
      <c r="N2104" s="415"/>
      <c r="O2104" s="415"/>
      <c r="P2104" s="415"/>
      <c r="Q2104" s="415"/>
    </row>
    <row r="2105" spans="14:17" ht="12.75">
      <c r="N2105" s="415"/>
      <c r="O2105" s="415"/>
      <c r="P2105" s="415"/>
      <c r="Q2105" s="415"/>
    </row>
    <row r="2106" spans="14:17" ht="12.75">
      <c r="N2106" s="415"/>
      <c r="O2106" s="415"/>
      <c r="P2106" s="415"/>
      <c r="Q2106" s="415"/>
    </row>
    <row r="2107" spans="14:17" ht="12.75">
      <c r="N2107" s="415"/>
      <c r="O2107" s="415"/>
      <c r="P2107" s="415"/>
      <c r="Q2107" s="415"/>
    </row>
    <row r="2108" spans="14:17" ht="12.75">
      <c r="N2108" s="415"/>
      <c r="O2108" s="415"/>
      <c r="P2108" s="415"/>
      <c r="Q2108" s="415"/>
    </row>
    <row r="2109" spans="14:17" ht="12.75">
      <c r="N2109" s="415"/>
      <c r="O2109" s="415"/>
      <c r="P2109" s="415"/>
      <c r="Q2109" s="415"/>
    </row>
    <row r="2110" spans="14:17" ht="12.75">
      <c r="N2110" s="415"/>
      <c r="O2110" s="415"/>
      <c r="P2110" s="415"/>
      <c r="Q2110" s="415"/>
    </row>
    <row r="2111" spans="14:17" ht="12.75">
      <c r="N2111" s="415"/>
      <c r="O2111" s="415"/>
      <c r="P2111" s="415"/>
      <c r="Q2111" s="415"/>
    </row>
    <row r="2112" spans="14:17" ht="12.75">
      <c r="N2112" s="415"/>
      <c r="O2112" s="415"/>
      <c r="P2112" s="415"/>
      <c r="Q2112" s="415"/>
    </row>
    <row r="2113" spans="14:17" ht="12.75">
      <c r="N2113" s="415"/>
      <c r="O2113" s="415"/>
      <c r="P2113" s="415"/>
      <c r="Q2113" s="415"/>
    </row>
    <row r="2114" spans="14:17" ht="12.75">
      <c r="N2114" s="415"/>
      <c r="O2114" s="415"/>
      <c r="P2114" s="415"/>
      <c r="Q2114" s="415"/>
    </row>
    <row r="2115" spans="14:17" ht="12.75">
      <c r="N2115" s="415"/>
      <c r="O2115" s="415"/>
      <c r="P2115" s="415"/>
      <c r="Q2115" s="415"/>
    </row>
    <row r="2116" spans="14:17" ht="12.75">
      <c r="N2116" s="415"/>
      <c r="O2116" s="415"/>
      <c r="P2116" s="415"/>
      <c r="Q2116" s="415"/>
    </row>
    <row r="2117" spans="14:17" ht="12.75">
      <c r="N2117" s="415"/>
      <c r="O2117" s="415"/>
      <c r="P2117" s="415"/>
      <c r="Q2117" s="415"/>
    </row>
    <row r="2118" spans="14:17" ht="12.75">
      <c r="N2118" s="415"/>
      <c r="O2118" s="415"/>
      <c r="P2118" s="415"/>
      <c r="Q2118" s="415"/>
    </row>
    <row r="2119" spans="14:17" ht="12.75">
      <c r="N2119" s="415"/>
      <c r="O2119" s="415"/>
      <c r="P2119" s="415"/>
      <c r="Q2119" s="415"/>
    </row>
    <row r="2120" spans="14:17" ht="12.75">
      <c r="N2120" s="415"/>
      <c r="O2120" s="415"/>
      <c r="P2120" s="415"/>
      <c r="Q2120" s="415"/>
    </row>
    <row r="2121" spans="14:17" ht="12.75">
      <c r="N2121" s="415"/>
      <c r="O2121" s="415"/>
      <c r="P2121" s="415"/>
      <c r="Q2121" s="415"/>
    </row>
    <row r="2122" spans="14:17" ht="12.75">
      <c r="N2122" s="415"/>
      <c r="O2122" s="415"/>
      <c r="P2122" s="415"/>
      <c r="Q2122" s="415"/>
    </row>
    <row r="2123" spans="14:17" ht="12.75">
      <c r="N2123" s="415"/>
      <c r="O2123" s="415"/>
      <c r="P2123" s="415"/>
      <c r="Q2123" s="415"/>
    </row>
    <row r="2124" spans="14:17" ht="12.75">
      <c r="N2124" s="415"/>
      <c r="O2124" s="415"/>
      <c r="P2124" s="415"/>
      <c r="Q2124" s="415"/>
    </row>
    <row r="2125" spans="14:17" ht="12.75">
      <c r="N2125" s="415"/>
      <c r="O2125" s="415"/>
      <c r="P2125" s="415"/>
      <c r="Q2125" s="415"/>
    </row>
    <row r="2126" spans="14:17" ht="12.75">
      <c r="N2126" s="415"/>
      <c r="O2126" s="415"/>
      <c r="P2126" s="415"/>
      <c r="Q2126" s="415"/>
    </row>
    <row r="2127" spans="14:17" ht="12.75">
      <c r="N2127" s="415"/>
      <c r="O2127" s="415"/>
      <c r="P2127" s="415"/>
      <c r="Q2127" s="415"/>
    </row>
    <row r="2128" spans="14:17" ht="12.75">
      <c r="N2128" s="415"/>
      <c r="O2128" s="415"/>
      <c r="P2128" s="415"/>
      <c r="Q2128" s="415"/>
    </row>
    <row r="2129" spans="14:17" ht="12.75">
      <c r="N2129" s="415"/>
      <c r="O2129" s="415"/>
      <c r="P2129" s="415"/>
      <c r="Q2129" s="415"/>
    </row>
  </sheetData>
  <printOptions/>
  <pageMargins left="0.75" right="0.75" top="1" bottom="1" header="0.5" footer="0.5"/>
  <pageSetup fitToHeight="1" fitToWidth="1" horizontalDpi="300" verticalDpi="300" orientation="portrait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AM65"/>
  <sheetViews>
    <sheetView tabSelected="1" workbookViewId="0" topLeftCell="A4">
      <selection activeCell="A12" sqref="A12"/>
    </sheetView>
  </sheetViews>
  <sheetFormatPr defaultColWidth="9.140625" defaultRowHeight="12.75"/>
  <cols>
    <col min="1" max="2" width="31.28125" style="790" customWidth="1"/>
    <col min="3" max="3" width="17.00390625" style="790" customWidth="1"/>
    <col min="4" max="7" width="17.421875" style="790" customWidth="1"/>
    <col min="8" max="16384" width="31.28125" style="790" customWidth="1"/>
  </cols>
  <sheetData>
    <row r="3" ht="15" thickBot="1">
      <c r="E3" s="791"/>
    </row>
    <row r="4" spans="2:7" ht="15.75" thickTop="1">
      <c r="B4" s="792"/>
      <c r="C4" s="793"/>
      <c r="D4" s="794" t="s">
        <v>342</v>
      </c>
      <c r="E4" s="795"/>
      <c r="F4" s="912"/>
      <c r="G4" s="913"/>
    </row>
    <row r="5" spans="2:7" ht="15">
      <c r="B5" s="797"/>
      <c r="C5" s="798" t="s">
        <v>25</v>
      </c>
      <c r="D5" s="799" t="s">
        <v>4</v>
      </c>
      <c r="E5" s="799" t="s">
        <v>5</v>
      </c>
      <c r="F5" s="799" t="s">
        <v>6</v>
      </c>
      <c r="G5" s="800" t="s">
        <v>338</v>
      </c>
    </row>
    <row r="6" spans="2:7" ht="15.75" thickBot="1">
      <c r="B6" s="801"/>
      <c r="C6" s="802" t="s">
        <v>198</v>
      </c>
      <c r="D6" s="803" t="s">
        <v>88</v>
      </c>
      <c r="E6" s="803" t="s">
        <v>88</v>
      </c>
      <c r="F6" s="803" t="s">
        <v>88</v>
      </c>
      <c r="G6" s="804" t="s">
        <v>339</v>
      </c>
    </row>
    <row r="7" spans="2:7" ht="15">
      <c r="B7" s="805"/>
      <c r="C7" s="806"/>
      <c r="D7" s="807"/>
      <c r="E7" s="807"/>
      <c r="F7" s="807"/>
      <c r="G7" s="808"/>
    </row>
    <row r="8" spans="2:7" ht="15">
      <c r="B8" s="809" t="s">
        <v>329</v>
      </c>
      <c r="C8" s="810"/>
      <c r="D8" s="849"/>
      <c r="E8" s="849"/>
      <c r="F8" s="849"/>
      <c r="G8" s="850"/>
    </row>
    <row r="9" spans="2:7" ht="15">
      <c r="B9" s="809"/>
      <c r="C9" s="810"/>
      <c r="D9" s="849"/>
      <c r="E9" s="849"/>
      <c r="F9" s="849"/>
      <c r="G9" s="850"/>
    </row>
    <row r="10" spans="2:9" ht="15">
      <c r="B10" s="813" t="s">
        <v>330</v>
      </c>
      <c r="C10" s="814">
        <f>'Existing Loads'!C10</f>
        <v>0</v>
      </c>
      <c r="D10" s="815" t="e">
        <f>MAX('Existing Loads'!D10-SUM('Future Management Practices'!C287:C288)-'Future Management Practices'!C290-SUM('Future Management Practices'!C292:C295)-SUM('Future Management Practices'!C298:C300),SUM('Primary Sources'!$D11:$D35)*'Primary Sources'!J36)</f>
        <v>#DIV/0!</v>
      </c>
      <c r="E10" s="815" t="e">
        <f>MAX('Existing Loads'!E10-SUM('Future Management Practices'!D287:D288)-'Future Management Practices'!D290-SUM('Future Management Practices'!D292:D295)-SUM('Future Management Practices'!D298:D300),SUM('Primary Sources'!$D11:$D35)*'Primary Sources'!K36)</f>
        <v>#DIV/0!</v>
      </c>
      <c r="F10" s="815" t="e">
        <f>MAX('Existing Loads'!F10-SUM('Future Management Practices'!E287:E288)-'Future Management Practices'!E290-SUM('Future Management Practices'!E292:E295)-SUM('Future Management Practices'!E298:E300),SUM('Primary Sources'!$D11:$D35)*'Primary Sources'!L36)</f>
        <v>#DIV/0!</v>
      </c>
      <c r="G10" s="816" t="e">
        <f>MAX('Existing Loads'!G10-SUM('Future Management Practices'!F287:F288)-'Future Management Practices'!F290-SUM('Future Management Practices'!F292:F295)-SUM('Future Management Practices'!F298:F300),SUM('Primary Sources'!$D11:$D35)*'Primary Sources'!M36)</f>
        <v>#DIV/0!</v>
      </c>
      <c r="I10" s="838"/>
    </row>
    <row r="11" spans="2:7" ht="15">
      <c r="B11" s="817" t="s">
        <v>39</v>
      </c>
      <c r="C11" s="818">
        <f>'Existing Loads'!C11</f>
        <v>0</v>
      </c>
      <c r="D11" s="819">
        <f>'Existing Loads'!D11-'Future Management Practices'!C289</f>
        <v>0</v>
      </c>
      <c r="E11" s="819">
        <f>'Existing Loads'!E11-'Future Management Practices'!D289</f>
        <v>0</v>
      </c>
      <c r="F11" s="819">
        <f>'Existing Loads'!F11-'Future Management Practices'!E289</f>
        <v>0</v>
      </c>
      <c r="G11" s="820">
        <f>'Existing Loads'!G11-'Future Management Practices'!F289</f>
        <v>0</v>
      </c>
    </row>
    <row r="12" spans="2:7" ht="15">
      <c r="B12" s="817" t="s">
        <v>41</v>
      </c>
      <c r="C12" s="821"/>
      <c r="D12" s="822">
        <f>'Existing Loads'!D12-'Future Management Practices'!C303</f>
        <v>0</v>
      </c>
      <c r="E12" s="819">
        <f>'Existing Loads'!E12-'Future Management Practices'!D303</f>
        <v>0</v>
      </c>
      <c r="F12" s="819">
        <f>'Existing Loads'!F12-'Future Management Practices'!E303</f>
        <v>0</v>
      </c>
      <c r="G12" s="820">
        <f>'Existing Loads'!G12-'Future Management Practices'!F303</f>
        <v>0</v>
      </c>
    </row>
    <row r="13" spans="2:7" ht="15">
      <c r="B13" s="817" t="s">
        <v>44</v>
      </c>
      <c r="C13" s="821"/>
      <c r="D13" s="822">
        <f>'Existing Loads'!D13-'Future Management Practices'!C302</f>
        <v>0</v>
      </c>
      <c r="E13" s="819">
        <f>'Existing Loads'!E13-'Future Management Practices'!D302</f>
        <v>0</v>
      </c>
      <c r="F13" s="819">
        <f>'Existing Loads'!F13-'Future Management Practices'!E302</f>
        <v>0</v>
      </c>
      <c r="G13" s="820">
        <f>'Existing Loads'!G13-'Future Management Practices'!F302</f>
        <v>0</v>
      </c>
    </row>
    <row r="14" spans="2:7" ht="15">
      <c r="B14" s="817" t="s">
        <v>48</v>
      </c>
      <c r="C14" s="821"/>
      <c r="D14" s="822">
        <f>'Existing Loads'!D14-'Future Management Practices'!C301</f>
        <v>0</v>
      </c>
      <c r="E14" s="819">
        <f>'Existing Loads'!E14-'Future Management Practices'!D301</f>
        <v>0</v>
      </c>
      <c r="F14" s="819">
        <f>'Existing Loads'!F14-'Future Management Practices'!E301</f>
        <v>0</v>
      </c>
      <c r="G14" s="820">
        <f>'Existing Loads'!G14-'Future Management Practices'!F301</f>
        <v>0</v>
      </c>
    </row>
    <row r="15" spans="2:8" ht="15">
      <c r="B15" s="817" t="s">
        <v>51</v>
      </c>
      <c r="C15" s="821"/>
      <c r="D15" s="822" t="e">
        <f>'Existing Loads'!D15-'Future Management Practices'!C306</f>
        <v>#DIV/0!</v>
      </c>
      <c r="E15" s="819" t="e">
        <f>'Existing Loads'!E15-'Future Management Practices'!D306</f>
        <v>#DIV/0!</v>
      </c>
      <c r="F15" s="819" t="e">
        <f>'Existing Loads'!F15-'Future Management Practices'!E306</f>
        <v>#DIV/0!</v>
      </c>
      <c r="G15" s="820">
        <f>'Existing Loads'!G15-'Future Management Practices'!F306</f>
        <v>0</v>
      </c>
      <c r="H15" s="823"/>
    </row>
    <row r="16" spans="2:8" ht="15">
      <c r="B16" s="881" t="s">
        <v>60</v>
      </c>
      <c r="C16" s="882"/>
      <c r="D16" s="883">
        <f>'Existing Loads'!D16-'Future Management Practices'!C296</f>
        <v>0</v>
      </c>
      <c r="E16" s="884">
        <f>'Existing Loads'!E16-'Future Management Practices'!D296</f>
        <v>0</v>
      </c>
      <c r="F16" s="884">
        <f>'Existing Loads'!F16-'Future Management Practices'!E296</f>
        <v>0</v>
      </c>
      <c r="G16" s="885">
        <f>'Existing Loads'!G16-'Future Management Practices'!F296</f>
        <v>0</v>
      </c>
      <c r="H16" s="823"/>
    </row>
    <row r="17" spans="2:7" ht="15">
      <c r="B17" s="817" t="s">
        <v>65</v>
      </c>
      <c r="C17" s="821"/>
      <c r="D17" s="819">
        <f>'Existing Loads'!D17-'Future Management Practices'!C291</f>
        <v>0</v>
      </c>
      <c r="E17" s="819">
        <f>'Existing Loads'!E17-'Future Management Practices'!D291</f>
        <v>0</v>
      </c>
      <c r="F17" s="819" t="e">
        <f>'Existing Loads'!F17-'Future Management Practices'!E291</f>
        <v>#DIV/0!</v>
      </c>
      <c r="G17" s="820">
        <f>'Existing Loads'!G17-'Future Management Practices'!F291</f>
        <v>0</v>
      </c>
    </row>
    <row r="18" spans="2:7" ht="15">
      <c r="B18" s="817" t="s">
        <v>377</v>
      </c>
      <c r="C18" s="821"/>
      <c r="D18" s="819">
        <f>'Existing Loads'!D18-'Future Management Practices'!C307</f>
        <v>0</v>
      </c>
      <c r="E18" s="819">
        <f>'Existing Loads'!E18-'Future Management Practices'!D307</f>
        <v>0</v>
      </c>
      <c r="F18" s="819">
        <f>'Existing Loads'!F18-'Future Management Practices'!E307</f>
        <v>0</v>
      </c>
      <c r="G18" s="820">
        <f>'Existing Loads'!G18-'Future Management Practices'!F307</f>
        <v>0</v>
      </c>
    </row>
    <row r="19" spans="2:7" ht="15.75" thickBot="1">
      <c r="B19" s="824" t="s">
        <v>311</v>
      </c>
      <c r="C19" s="825">
        <f>'Existing Loads'!C19</f>
        <v>0</v>
      </c>
      <c r="D19" s="826">
        <f>'Existing Loads'!D19-'Future Management Practices'!C298</f>
        <v>0</v>
      </c>
      <c r="E19" s="826">
        <f>'Existing Loads'!E19-'Future Management Practices'!D298</f>
        <v>0</v>
      </c>
      <c r="F19" s="826">
        <f>'Existing Loads'!F19-'Future Management Practices'!E298</f>
        <v>0</v>
      </c>
      <c r="G19" s="827">
        <f>'Existing Loads'!G19-'Future Management Practices'!F298</f>
        <v>0</v>
      </c>
    </row>
    <row r="20" spans="2:7" ht="14.25">
      <c r="B20" s="828"/>
      <c r="C20" s="829"/>
      <c r="D20" s="830"/>
      <c r="E20" s="830"/>
      <c r="F20" s="830"/>
      <c r="G20" s="831"/>
    </row>
    <row r="21" spans="2:7" ht="15">
      <c r="B21" s="832" t="s">
        <v>331</v>
      </c>
      <c r="C21" s="810"/>
      <c r="D21" s="811"/>
      <c r="E21" s="811"/>
      <c r="F21" s="811"/>
      <c r="G21" s="812"/>
    </row>
    <row r="22" spans="2:7" ht="15">
      <c r="B22" s="832"/>
      <c r="C22" s="810"/>
      <c r="D22" s="811"/>
      <c r="E22" s="811"/>
      <c r="F22" s="811"/>
      <c r="G22" s="812"/>
    </row>
    <row r="23" spans="2:7" ht="15">
      <c r="B23" s="817" t="s">
        <v>333</v>
      </c>
      <c r="C23" s="818">
        <f>'Existing Loads'!C23</f>
        <v>0</v>
      </c>
      <c r="D23" s="833">
        <f>'Existing Loads'!D23</f>
        <v>0</v>
      </c>
      <c r="E23" s="819">
        <f>'Existing Loads'!E23</f>
        <v>0</v>
      </c>
      <c r="F23" s="819">
        <f>'Existing Loads'!F23</f>
        <v>0</v>
      </c>
      <c r="G23" s="820">
        <f>'Existing Loads'!G23</f>
        <v>0</v>
      </c>
    </row>
    <row r="24" spans="2:7" ht="15">
      <c r="B24" s="817" t="s">
        <v>16</v>
      </c>
      <c r="C24" s="818">
        <f>'Existing Loads'!C24</f>
        <v>0</v>
      </c>
      <c r="D24" s="833">
        <f>'Existing Loads'!D24</f>
        <v>0</v>
      </c>
      <c r="E24" s="819">
        <f>'Existing Loads'!E24</f>
        <v>0</v>
      </c>
      <c r="F24" s="819">
        <f>'Existing Loads'!F24</f>
        <v>0</v>
      </c>
      <c r="G24" s="820">
        <f>'Existing Loads'!G24</f>
        <v>0</v>
      </c>
    </row>
    <row r="25" spans="2:7" ht="15">
      <c r="B25" s="881" t="s">
        <v>376</v>
      </c>
      <c r="C25" s="886">
        <f>'Existing Loads'!C25</f>
        <v>0</v>
      </c>
      <c r="D25" s="887">
        <f>'Existing Loads'!D25</f>
        <v>0</v>
      </c>
      <c r="E25" s="884">
        <f>'Existing Loads'!E25</f>
        <v>0</v>
      </c>
      <c r="F25" s="884">
        <f>'Existing Loads'!F25</f>
        <v>0</v>
      </c>
      <c r="G25" s="885">
        <f>'Existing Loads'!G25</f>
        <v>0</v>
      </c>
    </row>
    <row r="26" spans="2:7" ht="15">
      <c r="B26" s="834"/>
      <c r="C26" s="835"/>
      <c r="D26" s="836"/>
      <c r="E26" s="836"/>
      <c r="F26" s="836"/>
      <c r="G26" s="837"/>
    </row>
    <row r="27" spans="2:7" ht="15">
      <c r="B27" s="832" t="s">
        <v>18</v>
      </c>
      <c r="C27" s="810">
        <f>'Existing Loads'!C27</f>
        <v>0</v>
      </c>
      <c r="D27" s="811">
        <f>'Existing Loads'!D27</f>
        <v>0</v>
      </c>
      <c r="E27" s="811">
        <f>'Existing Loads'!E27</f>
        <v>0</v>
      </c>
      <c r="F27" s="811">
        <f>'Existing Loads'!F27</f>
        <v>0</v>
      </c>
      <c r="G27" s="812">
        <f>'Existing Loads'!G27</f>
        <v>0</v>
      </c>
    </row>
    <row r="28" spans="2:7" ht="15.75" thickBot="1">
      <c r="B28" s="841"/>
      <c r="C28" s="842"/>
      <c r="D28" s="843"/>
      <c r="E28" s="843"/>
      <c r="F28" s="843"/>
      <c r="G28" s="844"/>
    </row>
    <row r="29" spans="2:7" ht="15.75" thickBot="1">
      <c r="B29" s="845" t="s">
        <v>332</v>
      </c>
      <c r="C29" s="846">
        <f>'Existing Loads'!C29</f>
        <v>0</v>
      </c>
      <c r="D29" s="847" t="e">
        <f>SUM(D10:D28)</f>
        <v>#DIV/0!</v>
      </c>
      <c r="E29" s="847" t="e">
        <f>SUM(E10:E28)</f>
        <v>#DIV/0!</v>
      </c>
      <c r="F29" s="847" t="e">
        <f>SUM(F10:F28)</f>
        <v>#DIV/0!</v>
      </c>
      <c r="G29" s="848" t="e">
        <f>SUM(G10:G28)</f>
        <v>#DIV/0!</v>
      </c>
    </row>
    <row r="30" spans="2:7" ht="15.75" thickTop="1">
      <c r="B30" s="910" t="s">
        <v>336</v>
      </c>
      <c r="C30" s="908"/>
      <c r="D30" s="944" t="e">
        <f>D29-D31</f>
        <v>#DIV/0!</v>
      </c>
      <c r="E30" s="944" t="e">
        <f>E29-E31</f>
        <v>#DIV/0!</v>
      </c>
      <c r="F30" s="944" t="e">
        <f>F29-F31</f>
        <v>#DIV/0!</v>
      </c>
      <c r="G30" s="945" t="e">
        <f>G29-G31</f>
        <v>#DIV/0!</v>
      </c>
    </row>
    <row r="31" spans="2:7" ht="15.75" thickBot="1">
      <c r="B31" s="911" t="s">
        <v>337</v>
      </c>
      <c r="C31" s="909"/>
      <c r="D31" s="946">
        <f>D12*'Secondary Sources'!$C30+D14+D16+D18+(D23+D24)*(1-'Primary Sources'!C59)+D27+'Secondary Sources'!C119-(1-'Future Management Practices'!E16)*'Future Management Practices'!C258</f>
        <v>0</v>
      </c>
      <c r="E31" s="946">
        <f>E12*'Secondary Sources'!$C30+E14+E16+E18+(E23+E24)*(1-'Primary Sources'!D59)+E27+'Secondary Sources'!D119-(1-'Future Management Practices'!F16)*'Future Management Practices'!D258</f>
        <v>0</v>
      </c>
      <c r="F31" s="946">
        <f>F12*'Secondary Sources'!$C30+F14+F16+F18+(F23+F24)*(1-'Primary Sources'!E59)+F27+'Secondary Sources'!E119-(1-'Future Management Practices'!G16)*'Future Management Practices'!E258</f>
        <v>0</v>
      </c>
      <c r="G31" s="947">
        <f>G12*'Secondary Sources'!$C30+G14+G16+G18+(G23+G24)*(1-'Primary Sources'!F59)+G27+'Secondary Sources'!F119-(1-'Future Management Practices'!H16)*'Future Management Practices'!F258</f>
        <v>0</v>
      </c>
    </row>
    <row r="32" spans="3:7" ht="15" thickTop="1">
      <c r="C32" s="839"/>
      <c r="D32" s="852"/>
      <c r="E32" s="852"/>
      <c r="F32" s="852"/>
      <c r="G32" s="852"/>
    </row>
    <row r="33" spans="3:7" ht="14.25">
      <c r="C33" s="840"/>
      <c r="D33" s="840"/>
      <c r="E33" s="840"/>
      <c r="F33" s="838"/>
      <c r="G33" s="838"/>
    </row>
    <row r="34" spans="3:5" ht="14.25">
      <c r="C34" s="840"/>
      <c r="D34" s="840"/>
      <c r="E34" s="840"/>
    </row>
    <row r="35" spans="3:7" ht="14.25">
      <c r="C35" s="840"/>
      <c r="D35" s="840"/>
      <c r="E35" s="840"/>
      <c r="F35" s="823"/>
      <c r="G35" s="823"/>
    </row>
    <row r="36" spans="3:7" ht="14.25">
      <c r="C36" s="823"/>
      <c r="D36" s="840"/>
      <c r="E36" s="840"/>
      <c r="F36" s="840"/>
      <c r="G36" s="840"/>
    </row>
    <row r="37" spans="3:39" ht="14.25">
      <c r="C37" s="823"/>
      <c r="D37" s="840"/>
      <c r="E37" s="840"/>
      <c r="F37" s="840"/>
      <c r="G37" s="840"/>
      <c r="AK37" s="823"/>
      <c r="AL37" s="823"/>
      <c r="AM37" s="823"/>
    </row>
    <row r="38" spans="3:39" ht="14.25">
      <c r="C38" s="823"/>
      <c r="D38" s="823"/>
      <c r="E38" s="823"/>
      <c r="F38" s="823"/>
      <c r="G38" s="823"/>
      <c r="AK38" s="823"/>
      <c r="AL38" s="823"/>
      <c r="AM38" s="823"/>
    </row>
    <row r="39" spans="3:39" ht="14.25">
      <c r="C39" s="823"/>
      <c r="D39" s="823"/>
      <c r="E39" s="823"/>
      <c r="F39" s="823"/>
      <c r="G39" s="823"/>
      <c r="AK39" s="823"/>
      <c r="AL39" s="823"/>
      <c r="AM39" s="823"/>
    </row>
    <row r="40" spans="3:39" ht="14.25">
      <c r="C40" s="823"/>
      <c r="D40" s="823"/>
      <c r="E40" s="823"/>
      <c r="F40" s="823"/>
      <c r="G40" s="823"/>
      <c r="AK40" s="823"/>
      <c r="AL40" s="823"/>
      <c r="AM40" s="823"/>
    </row>
    <row r="41" spans="3:39" ht="14.25">
      <c r="C41" s="823"/>
      <c r="D41" s="823"/>
      <c r="E41" s="823"/>
      <c r="F41" s="823"/>
      <c r="G41" s="823"/>
      <c r="AK41" s="823"/>
      <c r="AL41" s="823"/>
      <c r="AM41" s="823"/>
    </row>
    <row r="42" spans="3:39" ht="14.25">
      <c r="C42" s="823"/>
      <c r="D42" s="823"/>
      <c r="E42" s="823"/>
      <c r="F42" s="823"/>
      <c r="G42" s="823"/>
      <c r="AK42" s="823"/>
      <c r="AL42" s="823"/>
      <c r="AM42" s="823"/>
    </row>
    <row r="43" spans="3:39" ht="14.25">
      <c r="C43" s="823"/>
      <c r="D43" s="823"/>
      <c r="E43" s="823"/>
      <c r="F43" s="823"/>
      <c r="G43" s="823"/>
      <c r="AK43" s="823"/>
      <c r="AL43" s="823"/>
      <c r="AM43" s="823"/>
    </row>
    <row r="44" spans="3:39" ht="14.25">
      <c r="C44" s="823"/>
      <c r="D44" s="823"/>
      <c r="E44" s="823"/>
      <c r="F44" s="823"/>
      <c r="G44" s="823"/>
      <c r="AK44" s="823"/>
      <c r="AL44" s="823"/>
      <c r="AM44" s="823"/>
    </row>
    <row r="45" spans="3:39" ht="14.25">
      <c r="C45" s="823"/>
      <c r="D45" s="823"/>
      <c r="E45" s="823"/>
      <c r="F45" s="823"/>
      <c r="G45" s="823"/>
      <c r="AK45" s="823"/>
      <c r="AL45" s="823"/>
      <c r="AM45" s="823"/>
    </row>
    <row r="46" spans="3:39" ht="14.25">
      <c r="C46" s="823"/>
      <c r="D46" s="823"/>
      <c r="E46" s="823"/>
      <c r="F46" s="823"/>
      <c r="G46" s="823"/>
      <c r="AK46" s="823"/>
      <c r="AL46" s="823"/>
      <c r="AM46" s="823"/>
    </row>
    <row r="47" spans="3:39" ht="14.25">
      <c r="C47" s="823"/>
      <c r="D47" s="823"/>
      <c r="E47" s="823"/>
      <c r="F47" s="823"/>
      <c r="G47" s="823"/>
      <c r="AK47" s="823"/>
      <c r="AL47" s="823"/>
      <c r="AM47" s="823"/>
    </row>
    <row r="48" spans="3:39" ht="14.25">
      <c r="C48" s="823"/>
      <c r="D48" s="823"/>
      <c r="E48" s="823"/>
      <c r="F48" s="823"/>
      <c r="G48" s="823"/>
      <c r="AK48" s="823"/>
      <c r="AL48" s="823"/>
      <c r="AM48" s="823"/>
    </row>
    <row r="49" spans="3:39" ht="14.25">
      <c r="C49" s="823"/>
      <c r="D49" s="823"/>
      <c r="E49" s="823"/>
      <c r="F49" s="823"/>
      <c r="G49" s="823"/>
      <c r="AK49" s="823"/>
      <c r="AL49" s="823"/>
      <c r="AM49" s="823"/>
    </row>
    <row r="50" spans="3:39" ht="14.25">
      <c r="C50" s="823"/>
      <c r="D50" s="823"/>
      <c r="E50" s="823"/>
      <c r="F50" s="823"/>
      <c r="G50" s="823"/>
      <c r="AK50" s="823"/>
      <c r="AL50" s="823"/>
      <c r="AM50" s="823"/>
    </row>
    <row r="51" spans="3:39" ht="14.25">
      <c r="C51" s="823"/>
      <c r="D51" s="823"/>
      <c r="E51" s="823"/>
      <c r="F51" s="823"/>
      <c r="G51" s="823"/>
      <c r="AK51" s="823"/>
      <c r="AL51" s="823"/>
      <c r="AM51" s="823"/>
    </row>
    <row r="52" spans="3:39" ht="14.25">
      <c r="C52" s="823"/>
      <c r="D52" s="823"/>
      <c r="E52" s="823"/>
      <c r="F52" s="823"/>
      <c r="G52" s="823"/>
      <c r="AK52" s="823"/>
      <c r="AL52" s="823"/>
      <c r="AM52" s="823"/>
    </row>
    <row r="53" spans="3:39" ht="14.25">
      <c r="C53" s="823"/>
      <c r="D53" s="823"/>
      <c r="E53" s="823"/>
      <c r="F53" s="823"/>
      <c r="G53" s="823"/>
      <c r="AK53" s="823"/>
      <c r="AL53" s="823"/>
      <c r="AM53" s="823"/>
    </row>
    <row r="54" spans="3:39" ht="14.25">
      <c r="C54" s="823"/>
      <c r="D54" s="823"/>
      <c r="E54" s="823"/>
      <c r="F54" s="823"/>
      <c r="G54" s="823"/>
      <c r="AK54" s="823"/>
      <c r="AL54" s="823"/>
      <c r="AM54" s="823"/>
    </row>
    <row r="55" spans="3:39" ht="14.25">
      <c r="C55" s="823"/>
      <c r="D55" s="823"/>
      <c r="E55" s="823"/>
      <c r="F55" s="823"/>
      <c r="G55" s="823"/>
      <c r="AK55" s="823"/>
      <c r="AL55" s="823"/>
      <c r="AM55" s="823"/>
    </row>
    <row r="56" spans="3:39" ht="14.25">
      <c r="C56" s="823"/>
      <c r="D56" s="823"/>
      <c r="E56" s="823"/>
      <c r="F56" s="823"/>
      <c r="G56" s="823"/>
      <c r="AK56" s="823"/>
      <c r="AL56" s="823"/>
      <c r="AM56" s="823"/>
    </row>
    <row r="57" spans="3:39" ht="14.25">
      <c r="C57" s="823"/>
      <c r="D57" s="823"/>
      <c r="E57" s="823"/>
      <c r="F57" s="823"/>
      <c r="G57" s="823"/>
      <c r="AK57" s="823"/>
      <c r="AL57" s="823"/>
      <c r="AM57" s="823"/>
    </row>
    <row r="58" spans="3:39" ht="14.25">
      <c r="C58" s="823"/>
      <c r="D58" s="823"/>
      <c r="E58" s="823"/>
      <c r="F58" s="823"/>
      <c r="G58" s="823"/>
      <c r="AK58" s="823"/>
      <c r="AL58" s="823"/>
      <c r="AM58" s="823"/>
    </row>
    <row r="59" spans="3:39" ht="14.25">
      <c r="C59" s="823"/>
      <c r="D59" s="823"/>
      <c r="E59" s="823"/>
      <c r="F59" s="823"/>
      <c r="G59" s="823"/>
      <c r="AK59" s="823"/>
      <c r="AL59" s="823"/>
      <c r="AM59" s="823"/>
    </row>
    <row r="60" spans="3:39" ht="14.25">
      <c r="C60" s="823"/>
      <c r="D60" s="823"/>
      <c r="E60" s="823"/>
      <c r="F60" s="823"/>
      <c r="G60" s="823"/>
      <c r="AK60" s="823"/>
      <c r="AL60" s="823"/>
      <c r="AM60" s="823"/>
    </row>
    <row r="61" spans="3:39" ht="14.25">
      <c r="C61" s="840"/>
      <c r="AK61" s="823"/>
      <c r="AL61" s="823"/>
      <c r="AM61" s="823"/>
    </row>
    <row r="62" ht="14.25">
      <c r="C62" s="840"/>
    </row>
    <row r="63" ht="14.25">
      <c r="C63" s="840"/>
    </row>
    <row r="64" ht="14.25">
      <c r="C64" s="840"/>
    </row>
    <row r="65" ht="14.25">
      <c r="C65" s="840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AM104"/>
  <sheetViews>
    <sheetView workbookViewId="0" topLeftCell="B16">
      <selection activeCell="F14" sqref="F14"/>
    </sheetView>
  </sheetViews>
  <sheetFormatPr defaultColWidth="9.140625" defaultRowHeight="12.75"/>
  <cols>
    <col min="1" max="2" width="31.28125" style="790" customWidth="1"/>
    <col min="3" max="3" width="17.00390625" style="790" customWidth="1"/>
    <col min="4" max="6" width="17.421875" style="790" customWidth="1"/>
    <col min="7" max="16384" width="31.28125" style="790" customWidth="1"/>
  </cols>
  <sheetData>
    <row r="3" ht="15" thickBot="1">
      <c r="E3" s="791"/>
    </row>
    <row r="4" spans="2:7" ht="15.75" thickTop="1">
      <c r="B4" s="792"/>
      <c r="C4" s="793"/>
      <c r="D4" s="794" t="s">
        <v>343</v>
      </c>
      <c r="E4" s="795"/>
      <c r="F4" s="794"/>
      <c r="G4" s="796"/>
    </row>
    <row r="5" spans="2:7" ht="15">
      <c r="B5" s="797"/>
      <c r="C5" s="798" t="s">
        <v>25</v>
      </c>
      <c r="D5" s="799" t="s">
        <v>4</v>
      </c>
      <c r="E5" s="799" t="s">
        <v>5</v>
      </c>
      <c r="F5" s="799" t="s">
        <v>6</v>
      </c>
      <c r="G5" s="800" t="s">
        <v>130</v>
      </c>
    </row>
    <row r="6" spans="2:7" ht="15.75" thickBot="1">
      <c r="B6" s="801"/>
      <c r="C6" s="802" t="s">
        <v>198</v>
      </c>
      <c r="D6" s="803" t="s">
        <v>88</v>
      </c>
      <c r="E6" s="803" t="s">
        <v>88</v>
      </c>
      <c r="F6" s="803" t="s">
        <v>88</v>
      </c>
      <c r="G6" s="804" t="s">
        <v>384</v>
      </c>
    </row>
    <row r="7" spans="2:7" ht="15">
      <c r="B7" s="805"/>
      <c r="C7" s="806"/>
      <c r="D7" s="807"/>
      <c r="E7" s="807"/>
      <c r="F7" s="807"/>
      <c r="G7" s="808"/>
    </row>
    <row r="8" spans="2:7" ht="15">
      <c r="B8" s="809" t="s">
        <v>329</v>
      </c>
      <c r="C8" s="810"/>
      <c r="D8" s="849"/>
      <c r="E8" s="849"/>
      <c r="F8" s="849"/>
      <c r="G8" s="850"/>
    </row>
    <row r="9" spans="2:7" ht="15">
      <c r="B9" s="809"/>
      <c r="C9" s="810"/>
      <c r="D9" s="849"/>
      <c r="E9" s="849"/>
      <c r="F9" s="849"/>
      <c r="G9" s="850"/>
    </row>
    <row r="10" spans="2:7" ht="15">
      <c r="B10" s="813" t="s">
        <v>330</v>
      </c>
      <c r="C10" s="814">
        <f>SUM('Future Land Use'!D7:D32)</f>
        <v>0</v>
      </c>
      <c r="D10" s="815" t="e">
        <f>'Loads with Future Practices'!D10+SUM('New Development'!N7:N30)+'New Development'!N64-'New Development'!C123</f>
        <v>#DIV/0!</v>
      </c>
      <c r="E10" s="815" t="e">
        <f>'Loads with Future Practices'!E10+SUM('New Development'!O7:O30)+'New Development'!O64-'New Development'!D123</f>
        <v>#DIV/0!</v>
      </c>
      <c r="F10" s="815" t="e">
        <f>'Loads with Future Practices'!F10+SUM('New Development'!P7:P30)+'New Development'!P64-'New Development'!E123</f>
        <v>#DIV/0!</v>
      </c>
      <c r="G10" s="816" t="e">
        <f>'Loads with Future Practices'!G10+SUM('New Development'!Q7:Q30)+'New Development'!Q64-'New Development'!F123</f>
        <v>#DIV/0!</v>
      </c>
    </row>
    <row r="11" spans="2:7" ht="15">
      <c r="B11" s="817" t="s">
        <v>39</v>
      </c>
      <c r="C11" s="818">
        <f>'Future Land Use'!D48</f>
        <v>0</v>
      </c>
      <c r="D11" s="819">
        <f>'Loads with Future Practices'!D11+'New Development'!N61</f>
        <v>0</v>
      </c>
      <c r="E11" s="819">
        <f>'Loads with Future Practices'!E11+'New Development'!O61</f>
        <v>0</v>
      </c>
      <c r="F11" s="819">
        <f>'Loads with Future Practices'!F11+'New Development'!P61</f>
        <v>0</v>
      </c>
      <c r="G11" s="820">
        <f>'Loads with Future Practices'!G11+'New Development'!Q61</f>
        <v>0</v>
      </c>
    </row>
    <row r="12" spans="2:7" ht="15">
      <c r="B12" s="817" t="s">
        <v>41</v>
      </c>
      <c r="C12" s="821"/>
      <c r="D12" s="949">
        <f>'Loads with Future Practices'!D12</f>
        <v>0</v>
      </c>
      <c r="E12" s="819">
        <f>'Loads with Future Practices'!E12</f>
        <v>0</v>
      </c>
      <c r="F12" s="819">
        <f>'Loads with Future Practices'!F12</f>
        <v>0</v>
      </c>
      <c r="G12" s="820">
        <f>'Loads with Future Practices'!G12</f>
        <v>0</v>
      </c>
    </row>
    <row r="13" spans="2:7" ht="15">
      <c r="B13" s="817" t="s">
        <v>44</v>
      </c>
      <c r="C13" s="821"/>
      <c r="D13" s="822">
        <f>'Loads with Future Practices'!D13</f>
        <v>0</v>
      </c>
      <c r="E13" s="819">
        <f>'Loads with Future Practices'!E13</f>
        <v>0</v>
      </c>
      <c r="F13" s="819">
        <f>'Loads with Future Practices'!F13</f>
        <v>0</v>
      </c>
      <c r="G13" s="820">
        <f>'Loads with Future Practices'!G13</f>
        <v>0</v>
      </c>
    </row>
    <row r="14" spans="2:7" ht="15">
      <c r="B14" s="817" t="s">
        <v>48</v>
      </c>
      <c r="C14" s="821"/>
      <c r="D14" s="822">
        <f>'Loads with Future Practices'!D14</f>
        <v>0</v>
      </c>
      <c r="E14" s="819">
        <f>'Loads with Future Practices'!E14</f>
        <v>0</v>
      </c>
      <c r="F14" s="819">
        <f>'Loads with Future Practices'!F14</f>
        <v>0</v>
      </c>
      <c r="G14" s="820">
        <f>'Loads with Future Practices'!G14</f>
        <v>0</v>
      </c>
    </row>
    <row r="15" spans="2:8" ht="15">
      <c r="B15" s="817" t="s">
        <v>51</v>
      </c>
      <c r="C15" s="821"/>
      <c r="D15" s="822" t="e">
        <f>'Loads with Future Practices'!D15+'New Development'!N71-'New Development'!C120</f>
        <v>#DIV/0!</v>
      </c>
      <c r="E15" s="819" t="e">
        <f>'Loads with Future Practices'!E15+'New Development'!O71-'New Development'!D120</f>
        <v>#DIV/0!</v>
      </c>
      <c r="F15" s="819" t="e">
        <f>'Loads with Future Practices'!F15+'New Development'!P71-'New Development'!E120</f>
        <v>#DIV/0!</v>
      </c>
      <c r="G15" s="820">
        <f>'Loads with Future Practices'!G15+'New Development'!Q71-'New Development'!F120</f>
        <v>0</v>
      </c>
      <c r="H15" s="823"/>
    </row>
    <row r="16" spans="2:8" ht="15">
      <c r="B16" s="881" t="s">
        <v>60</v>
      </c>
      <c r="C16" s="882"/>
      <c r="D16" s="883">
        <f>'Loads with Future Practices'!D16</f>
        <v>0</v>
      </c>
      <c r="E16" s="884">
        <f>'Loads with Future Practices'!E16</f>
        <v>0</v>
      </c>
      <c r="F16" s="884">
        <f>'Loads with Future Practices'!F16</f>
        <v>0</v>
      </c>
      <c r="G16" s="885">
        <f>'Loads with Future Practices'!G16</f>
        <v>0</v>
      </c>
      <c r="H16" s="823"/>
    </row>
    <row r="17" spans="2:7" ht="15.75" thickBot="1">
      <c r="B17" s="824" t="s">
        <v>65</v>
      </c>
      <c r="C17" s="825"/>
      <c r="D17" s="826"/>
      <c r="E17" s="826"/>
      <c r="F17" s="826" t="e">
        <f>'Loads with Future Practices'!F17+'New Development'!P69</f>
        <v>#DIV/0!</v>
      </c>
      <c r="G17" s="827">
        <f>'Loads with Future Practices'!G17+'New Development'!Q69</f>
        <v>0</v>
      </c>
    </row>
    <row r="18" spans="2:7" ht="14.25">
      <c r="B18" s="828"/>
      <c r="C18" s="829"/>
      <c r="D18" s="830"/>
      <c r="E18" s="830"/>
      <c r="F18" s="830"/>
      <c r="G18" s="831"/>
    </row>
    <row r="19" spans="2:7" ht="15">
      <c r="B19" s="832" t="s">
        <v>331</v>
      </c>
      <c r="C19" s="810"/>
      <c r="D19" s="811"/>
      <c r="E19" s="811"/>
      <c r="F19" s="811"/>
      <c r="G19" s="812"/>
    </row>
    <row r="20" spans="2:7" ht="15">
      <c r="B20" s="832"/>
      <c r="C20" s="810"/>
      <c r="D20" s="811"/>
      <c r="E20" s="811"/>
      <c r="F20" s="811"/>
      <c r="G20" s="812"/>
    </row>
    <row r="21" spans="2:7" ht="15">
      <c r="B21" s="817" t="s">
        <v>333</v>
      </c>
      <c r="C21" s="818">
        <f>SUM('Future Land Use'!D38:D47)</f>
        <v>0</v>
      </c>
      <c r="D21" s="833">
        <f>'Loads with Future Practices'!D23+SUM('New Development'!N38:N47)</f>
        <v>0</v>
      </c>
      <c r="E21" s="819">
        <f>'Loads with Future Practices'!E23+SUM('New Development'!O38:O47)</f>
        <v>0</v>
      </c>
      <c r="F21" s="819">
        <f>'Loads with Future Practices'!F23+SUM('New Development'!P38:P47)</f>
        <v>0</v>
      </c>
      <c r="G21" s="820">
        <f>'Loads with Future Practices'!G23+SUM('New Development'!Q38:Q47)</f>
        <v>0</v>
      </c>
    </row>
    <row r="22" spans="2:7" ht="15">
      <c r="B22" s="817" t="s">
        <v>16</v>
      </c>
      <c r="C22" s="818">
        <f>SUM('Future Land Use'!D33:D37)</f>
        <v>0</v>
      </c>
      <c r="D22" s="833">
        <f>'Loads with Future Practices'!D24+SUM('New Development'!N33:N37)</f>
        <v>0</v>
      </c>
      <c r="E22" s="819">
        <f>'Loads with Future Practices'!E24+SUM('New Development'!O33:O37)</f>
        <v>0</v>
      </c>
      <c r="F22" s="819">
        <f>'Loads with Future Practices'!F24+SUM('New Development'!P33:P37)</f>
        <v>0</v>
      </c>
      <c r="G22" s="820">
        <f>'Loads with Future Practices'!G24+SUM('New Development'!Q33:Q37)</f>
        <v>0</v>
      </c>
    </row>
    <row r="23" spans="2:7" ht="15">
      <c r="B23" s="881" t="s">
        <v>376</v>
      </c>
      <c r="C23" s="886"/>
      <c r="D23" s="887">
        <f>'Loads with Future Practices'!D25</f>
        <v>0</v>
      </c>
      <c r="E23" s="884">
        <f>'Loads with Future Practices'!E25</f>
        <v>0</v>
      </c>
      <c r="F23" s="884">
        <f>'Loads with Future Practices'!F25</f>
        <v>0</v>
      </c>
      <c r="G23" s="885">
        <f>'Loads with Future Practices'!G25</f>
        <v>0</v>
      </c>
    </row>
    <row r="24" spans="2:7" ht="15">
      <c r="B24" s="834"/>
      <c r="C24" s="835"/>
      <c r="D24" s="836"/>
      <c r="E24" s="836"/>
      <c r="F24" s="836"/>
      <c r="G24" s="837"/>
    </row>
    <row r="25" spans="2:7" ht="15">
      <c r="B25" s="832" t="s">
        <v>18</v>
      </c>
      <c r="C25" s="810">
        <f>'Future Land Use'!D47</f>
        <v>0</v>
      </c>
      <c r="D25" s="811">
        <f>'Loads with Future Practices'!D27</f>
        <v>0</v>
      </c>
      <c r="E25" s="811">
        <f>'Loads with Future Practices'!E27</f>
        <v>0</v>
      </c>
      <c r="F25" s="811">
        <f>'Loads with Future Practices'!F27</f>
        <v>0</v>
      </c>
      <c r="G25" s="812">
        <f>'Loads with Future Practices'!G27</f>
        <v>0</v>
      </c>
    </row>
    <row r="26" spans="2:7" ht="15.75" thickBot="1">
      <c r="B26" s="841"/>
      <c r="C26" s="842"/>
      <c r="D26" s="843"/>
      <c r="E26" s="843"/>
      <c r="F26" s="843"/>
      <c r="G26" s="844"/>
    </row>
    <row r="27" spans="2:7" ht="15.75" thickBot="1">
      <c r="B27" s="845" t="s">
        <v>392</v>
      </c>
      <c r="C27" s="846">
        <f>SUM(C10:C26)</f>
        <v>0</v>
      </c>
      <c r="D27" s="847" t="e">
        <f>SUM(D10:D26)</f>
        <v>#DIV/0!</v>
      </c>
      <c r="E27" s="847" t="e">
        <f>SUM(E10:E26)</f>
        <v>#DIV/0!</v>
      </c>
      <c r="F27" s="847" t="e">
        <f>SUM(F10:F26)</f>
        <v>#DIV/0!</v>
      </c>
      <c r="G27" s="848" t="e">
        <f>SUM(G10:G26)</f>
        <v>#DIV/0!</v>
      </c>
    </row>
    <row r="28" spans="2:7" ht="15.75" thickTop="1">
      <c r="B28" s="910" t="s">
        <v>336</v>
      </c>
      <c r="C28" s="908"/>
      <c r="D28" s="955" t="e">
        <f>'Loads with Future Practices'!D30+'New Development'!C127</f>
        <v>#DIV/0!</v>
      </c>
      <c r="E28" s="955" t="e">
        <f>'Loads with Future Practices'!E30+'New Development'!D127</f>
        <v>#DIV/0!</v>
      </c>
      <c r="F28" s="955" t="e">
        <f>'Loads with Future Practices'!F30+'New Development'!E127</f>
        <v>#DIV/0!</v>
      </c>
      <c r="G28" s="955" t="e">
        <f>'Loads with Future Practices'!G30+'New Development'!F127</f>
        <v>#DIV/0!</v>
      </c>
    </row>
    <row r="29" spans="2:7" ht="15.75" thickBot="1">
      <c r="B29" s="911" t="s">
        <v>337</v>
      </c>
      <c r="C29" s="909"/>
      <c r="D29" s="956" t="e">
        <f>'Loads with Future Practices'!D31+'New Development'!C128</f>
        <v>#DIV/0!</v>
      </c>
      <c r="E29" s="956" t="e">
        <f>'Loads with Future Practices'!E31+'New Development'!D128</f>
        <v>#DIV/0!</v>
      </c>
      <c r="F29" s="956" t="e">
        <f>'Loads with Future Practices'!F31+'New Development'!E128</f>
        <v>#DIV/0!</v>
      </c>
      <c r="G29" s="956" t="e">
        <f>'Loads with Future Practices'!G31+'New Development'!F128</f>
        <v>#N/A</v>
      </c>
    </row>
    <row r="30" spans="3:7" ht="15" thickTop="1">
      <c r="C30" s="839"/>
      <c r="D30" s="949"/>
      <c r="E30" s="949"/>
      <c r="F30" s="949"/>
      <c r="G30" s="949"/>
    </row>
    <row r="31" spans="3:6" ht="14.25">
      <c r="C31" s="840"/>
      <c r="D31" s="840"/>
      <c r="E31" s="840"/>
      <c r="F31" s="838"/>
    </row>
    <row r="32" spans="3:5" ht="14.25">
      <c r="C32" s="840"/>
      <c r="D32" s="840"/>
      <c r="E32" s="840"/>
    </row>
    <row r="33" spans="3:7" ht="14.25">
      <c r="C33" s="840"/>
      <c r="D33" s="840"/>
      <c r="E33" s="840"/>
      <c r="F33" s="823"/>
      <c r="G33" s="823"/>
    </row>
    <row r="34" spans="3:6" ht="14.25">
      <c r="C34" s="823"/>
      <c r="D34" s="823"/>
      <c r="E34" s="840"/>
      <c r="F34" s="823"/>
    </row>
    <row r="35" spans="3:39" ht="14.25">
      <c r="C35" s="823"/>
      <c r="D35" s="823"/>
      <c r="E35" s="840"/>
      <c r="F35" s="823"/>
      <c r="AK35" s="823"/>
      <c r="AL35" s="823"/>
      <c r="AM35" s="823"/>
    </row>
    <row r="36" spans="3:39" ht="14.25">
      <c r="C36" s="823"/>
      <c r="D36" s="823"/>
      <c r="E36" s="840"/>
      <c r="F36" s="823"/>
      <c r="AK36" s="823"/>
      <c r="AL36" s="823"/>
      <c r="AM36" s="823"/>
    </row>
    <row r="37" spans="3:39" ht="14.25">
      <c r="C37" s="823"/>
      <c r="D37" s="823"/>
      <c r="E37" s="840"/>
      <c r="F37" s="823"/>
      <c r="AK37" s="823"/>
      <c r="AL37" s="823"/>
      <c r="AM37" s="823"/>
    </row>
    <row r="38" spans="3:39" ht="14.25">
      <c r="C38" s="823"/>
      <c r="D38" s="823"/>
      <c r="E38" s="840"/>
      <c r="F38" s="823"/>
      <c r="AK38" s="823"/>
      <c r="AL38" s="823"/>
      <c r="AM38" s="823"/>
    </row>
    <row r="39" spans="3:39" ht="14.25">
      <c r="C39" s="823"/>
      <c r="D39" s="823"/>
      <c r="E39" s="840"/>
      <c r="F39" s="823"/>
      <c r="AK39" s="823"/>
      <c r="AL39" s="823"/>
      <c r="AM39" s="823"/>
    </row>
    <row r="40" spans="3:39" ht="14.25">
      <c r="C40" s="823"/>
      <c r="D40" s="823"/>
      <c r="E40" s="840"/>
      <c r="F40" s="823"/>
      <c r="AK40" s="823"/>
      <c r="AL40" s="823"/>
      <c r="AM40" s="823"/>
    </row>
    <row r="41" spans="3:39" ht="14.25">
      <c r="C41" s="823"/>
      <c r="D41" s="823"/>
      <c r="E41" s="840"/>
      <c r="F41" s="823"/>
      <c r="AK41" s="823"/>
      <c r="AL41" s="823"/>
      <c r="AM41" s="823"/>
    </row>
    <row r="42" spans="3:39" ht="14.25">
      <c r="C42" s="823"/>
      <c r="D42" s="823"/>
      <c r="E42" s="840"/>
      <c r="F42" s="823"/>
      <c r="AK42" s="823"/>
      <c r="AL42" s="823"/>
      <c r="AM42" s="823"/>
    </row>
    <row r="43" spans="3:39" ht="14.25">
      <c r="C43" s="823"/>
      <c r="D43" s="823"/>
      <c r="E43" s="840"/>
      <c r="F43" s="823"/>
      <c r="AK43" s="823"/>
      <c r="AL43" s="823"/>
      <c r="AM43" s="823"/>
    </row>
    <row r="44" spans="3:39" ht="14.25">
      <c r="C44" s="823"/>
      <c r="D44" s="823"/>
      <c r="E44" s="840"/>
      <c r="F44" s="823"/>
      <c r="AK44" s="823"/>
      <c r="AL44" s="823"/>
      <c r="AM44" s="823"/>
    </row>
    <row r="45" spans="3:39" ht="14.25">
      <c r="C45" s="823"/>
      <c r="D45" s="823"/>
      <c r="E45" s="840"/>
      <c r="F45" s="823"/>
      <c r="AK45" s="823"/>
      <c r="AL45" s="823"/>
      <c r="AM45" s="823"/>
    </row>
    <row r="46" spans="3:39" ht="14.25">
      <c r="C46" s="823"/>
      <c r="D46" s="823"/>
      <c r="E46" s="840"/>
      <c r="F46" s="823"/>
      <c r="AK46" s="823"/>
      <c r="AL46" s="823"/>
      <c r="AM46" s="823"/>
    </row>
    <row r="47" spans="3:39" ht="14.25">
      <c r="C47" s="823"/>
      <c r="D47" s="823"/>
      <c r="E47" s="840"/>
      <c r="F47" s="823"/>
      <c r="AK47" s="823"/>
      <c r="AL47" s="823"/>
      <c r="AM47" s="823"/>
    </row>
    <row r="48" spans="3:39" ht="14.25">
      <c r="C48" s="823"/>
      <c r="D48" s="823"/>
      <c r="E48" s="840"/>
      <c r="F48" s="823"/>
      <c r="AK48" s="823"/>
      <c r="AL48" s="823"/>
      <c r="AM48" s="823"/>
    </row>
    <row r="49" spans="3:39" ht="14.25">
      <c r="C49" s="823"/>
      <c r="D49" s="823"/>
      <c r="E49" s="840"/>
      <c r="F49" s="823"/>
      <c r="AK49" s="823"/>
      <c r="AL49" s="823"/>
      <c r="AM49" s="823"/>
    </row>
    <row r="50" spans="3:39" ht="14.25">
      <c r="C50" s="823"/>
      <c r="D50" s="823"/>
      <c r="E50" s="840"/>
      <c r="F50" s="823"/>
      <c r="AK50" s="823"/>
      <c r="AL50" s="823"/>
      <c r="AM50" s="823"/>
    </row>
    <row r="51" spans="3:39" ht="14.25">
      <c r="C51" s="823"/>
      <c r="D51" s="823"/>
      <c r="E51" s="840"/>
      <c r="F51" s="823"/>
      <c r="AK51" s="823"/>
      <c r="AL51" s="823"/>
      <c r="AM51" s="823"/>
    </row>
    <row r="52" spans="3:39" ht="14.25">
      <c r="C52" s="823"/>
      <c r="D52" s="823"/>
      <c r="E52" s="840"/>
      <c r="F52" s="823"/>
      <c r="AK52" s="823"/>
      <c r="AL52" s="823"/>
      <c r="AM52" s="823"/>
    </row>
    <row r="53" spans="3:39" ht="14.25">
      <c r="C53" s="823"/>
      <c r="D53" s="823"/>
      <c r="E53" s="840"/>
      <c r="F53" s="823"/>
      <c r="AK53" s="823"/>
      <c r="AL53" s="823"/>
      <c r="AM53" s="823"/>
    </row>
    <row r="54" spans="3:39" ht="14.25">
      <c r="C54" s="823"/>
      <c r="D54" s="823"/>
      <c r="E54" s="840"/>
      <c r="F54" s="823"/>
      <c r="AK54" s="823"/>
      <c r="AL54" s="823"/>
      <c r="AM54" s="823"/>
    </row>
    <row r="55" spans="3:39" ht="14.25">
      <c r="C55" s="823"/>
      <c r="D55" s="823"/>
      <c r="E55" s="840"/>
      <c r="F55" s="823"/>
      <c r="AK55" s="823"/>
      <c r="AL55" s="823"/>
      <c r="AM55" s="823"/>
    </row>
    <row r="56" spans="3:39" ht="14.25">
      <c r="C56" s="823"/>
      <c r="D56" s="823"/>
      <c r="E56" s="840"/>
      <c r="F56" s="823"/>
      <c r="AK56" s="823"/>
      <c r="AL56" s="823"/>
      <c r="AM56" s="823"/>
    </row>
    <row r="57" spans="3:39" ht="14.25">
      <c r="C57" s="823"/>
      <c r="D57" s="823"/>
      <c r="E57" s="840"/>
      <c r="F57" s="823"/>
      <c r="AK57" s="823"/>
      <c r="AL57" s="823"/>
      <c r="AM57" s="823"/>
    </row>
    <row r="58" spans="3:39" ht="14.25">
      <c r="C58" s="823"/>
      <c r="D58" s="823"/>
      <c r="E58" s="840"/>
      <c r="F58" s="823"/>
      <c r="AK58" s="823"/>
      <c r="AL58" s="823"/>
      <c r="AM58" s="823"/>
    </row>
    <row r="59" spans="3:39" ht="14.25">
      <c r="C59" s="840"/>
      <c r="E59" s="840"/>
      <c r="AK59" s="823"/>
      <c r="AL59" s="823"/>
      <c r="AM59" s="823"/>
    </row>
    <row r="60" spans="3:5" ht="14.25">
      <c r="C60" s="840"/>
      <c r="E60" s="840"/>
    </row>
    <row r="61" spans="3:5" ht="14.25">
      <c r="C61" s="840"/>
      <c r="E61" s="840"/>
    </row>
    <row r="62" spans="3:5" ht="14.25">
      <c r="C62" s="840"/>
      <c r="E62" s="840"/>
    </row>
    <row r="63" spans="3:5" ht="14.25">
      <c r="C63" s="840"/>
      <c r="E63" s="840"/>
    </row>
    <row r="64" ht="14.25">
      <c r="E64" s="840"/>
    </row>
    <row r="65" ht="14.25">
      <c r="E65" s="840"/>
    </row>
    <row r="66" ht="14.25">
      <c r="E66" s="840"/>
    </row>
    <row r="67" ht="14.25">
      <c r="E67" s="840"/>
    </row>
    <row r="68" ht="14.25">
      <c r="E68" s="840"/>
    </row>
    <row r="69" ht="14.25">
      <c r="E69" s="840"/>
    </row>
    <row r="70" ht="14.25">
      <c r="E70" s="840"/>
    </row>
    <row r="71" ht="14.25">
      <c r="E71" s="840"/>
    </row>
    <row r="72" ht="14.25">
      <c r="E72" s="840"/>
    </row>
    <row r="73" ht="14.25">
      <c r="E73" s="840"/>
    </row>
    <row r="74" ht="14.25">
      <c r="E74" s="840"/>
    </row>
    <row r="75" ht="14.25">
      <c r="E75" s="840"/>
    </row>
    <row r="76" ht="14.25">
      <c r="E76" s="840"/>
    </row>
    <row r="77" ht="14.25">
      <c r="E77" s="840"/>
    </row>
    <row r="78" ht="14.25">
      <c r="E78" s="840"/>
    </row>
    <row r="79" ht="14.25">
      <c r="E79" s="840"/>
    </row>
    <row r="80" ht="14.25">
      <c r="E80" s="840"/>
    </row>
    <row r="81" ht="14.25">
      <c r="E81" s="840"/>
    </row>
    <row r="82" ht="14.25">
      <c r="E82" s="840"/>
    </row>
    <row r="83" ht="14.25">
      <c r="E83" s="840"/>
    </row>
    <row r="84" ht="14.25">
      <c r="E84" s="840"/>
    </row>
    <row r="85" ht="14.25">
      <c r="E85" s="840"/>
    </row>
    <row r="86" ht="14.25">
      <c r="E86" s="840"/>
    </row>
    <row r="87" ht="14.25">
      <c r="E87" s="840"/>
    </row>
    <row r="88" ht="14.25">
      <c r="E88" s="840"/>
    </row>
    <row r="89" ht="14.25">
      <c r="E89" s="840"/>
    </row>
    <row r="90" ht="14.25">
      <c r="E90" s="840"/>
    </row>
    <row r="91" ht="14.25">
      <c r="E91" s="840"/>
    </row>
    <row r="92" ht="14.25">
      <c r="E92" s="840"/>
    </row>
    <row r="93" ht="14.25">
      <c r="E93" s="840"/>
    </row>
    <row r="94" ht="14.25">
      <c r="E94" s="840"/>
    </row>
    <row r="95" ht="14.25">
      <c r="E95" s="840"/>
    </row>
    <row r="96" ht="14.25">
      <c r="E96" s="840"/>
    </row>
    <row r="97" ht="14.25">
      <c r="E97" s="840"/>
    </row>
    <row r="98" ht="14.25">
      <c r="E98" s="840"/>
    </row>
    <row r="104" ht="14.25">
      <c r="E104" s="840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15"/>
  <sheetViews>
    <sheetView workbookViewId="0" topLeftCell="A1">
      <selection activeCell="E18" sqref="E18"/>
    </sheetView>
  </sheetViews>
  <sheetFormatPr defaultColWidth="9.140625" defaultRowHeight="12.75"/>
  <cols>
    <col min="4" max="4" width="22.421875" style="25" customWidth="1"/>
    <col min="5" max="5" width="11.57421875" style="25" customWidth="1"/>
    <col min="9" max="9" width="14.28125" style="0" customWidth="1"/>
  </cols>
  <sheetData>
    <row r="2" spans="3:10" ht="12.75">
      <c r="C2" s="20"/>
      <c r="D2" s="24"/>
      <c r="E2" s="24"/>
      <c r="F2" s="20"/>
      <c r="G2" s="20"/>
      <c r="H2" s="20"/>
      <c r="I2" s="20"/>
      <c r="J2" s="20"/>
    </row>
    <row r="3" spans="3:10" ht="13.5" thickBot="1">
      <c r="C3" s="20"/>
      <c r="D3" s="24"/>
      <c r="E3" s="24"/>
      <c r="F3" s="24"/>
      <c r="G3" s="24"/>
      <c r="H3" s="24"/>
      <c r="I3" s="24"/>
      <c r="J3" s="20"/>
    </row>
    <row r="4" spans="2:9" ht="15.75" thickTop="1">
      <c r="B4" s="25"/>
      <c r="C4" s="25"/>
      <c r="D4" s="959"/>
      <c r="E4" s="960"/>
      <c r="F4" s="977" t="s">
        <v>399</v>
      </c>
      <c r="G4" s="960"/>
      <c r="H4" s="960"/>
      <c r="I4" s="708"/>
    </row>
    <row r="5" spans="2:9" ht="12.75">
      <c r="B5" s="25"/>
      <c r="C5" s="25"/>
      <c r="D5" s="504"/>
      <c r="E5" s="6"/>
      <c r="F5" s="72" t="s">
        <v>4</v>
      </c>
      <c r="G5" s="108" t="s">
        <v>5</v>
      </c>
      <c r="H5" s="108" t="s">
        <v>6</v>
      </c>
      <c r="I5" s="975" t="s">
        <v>130</v>
      </c>
    </row>
    <row r="6" spans="4:9" ht="13.5" thickBot="1">
      <c r="D6" s="962"/>
      <c r="E6" s="973"/>
      <c r="F6" s="177" t="s">
        <v>88</v>
      </c>
      <c r="G6" s="976" t="s">
        <v>88</v>
      </c>
      <c r="H6" s="976" t="s">
        <v>88</v>
      </c>
      <c r="I6" s="207" t="s">
        <v>339</v>
      </c>
    </row>
    <row r="7" spans="4:9" ht="12.75">
      <c r="D7" s="27"/>
      <c r="E7" s="963" t="s">
        <v>138</v>
      </c>
      <c r="F7" s="966" t="e">
        <f>'Existing Loads'!D29</f>
        <v>#DIV/0!</v>
      </c>
      <c r="G7" s="139" t="e">
        <f>'Existing Loads'!E29</f>
        <v>#DIV/0!</v>
      </c>
      <c r="H7" s="139" t="e">
        <f>'Existing Loads'!F29</f>
        <v>#DIV/0!</v>
      </c>
      <c r="I7" s="140" t="e">
        <f>'Existing Loads'!G29</f>
        <v>#DIV/0!</v>
      </c>
    </row>
    <row r="8" spans="4:9" ht="12.75">
      <c r="D8" s="7" t="s">
        <v>394</v>
      </c>
      <c r="E8" s="964" t="s">
        <v>397</v>
      </c>
      <c r="F8" s="967" t="e">
        <f>'Existing Loads'!D30</f>
        <v>#DIV/0!</v>
      </c>
      <c r="G8" s="49" t="e">
        <f>'Existing Loads'!E30</f>
        <v>#DIV/0!</v>
      </c>
      <c r="H8" s="49" t="e">
        <f>'Existing Loads'!F30</f>
        <v>#DIV/0!</v>
      </c>
      <c r="I8" s="50" t="e">
        <f>'Existing Loads'!G30</f>
        <v>#DIV/0!</v>
      </c>
    </row>
    <row r="9" spans="4:9" ht="13.5" thickBot="1">
      <c r="D9" s="974"/>
      <c r="E9" s="969" t="s">
        <v>398</v>
      </c>
      <c r="F9" s="970">
        <f>'Existing Loads'!D31</f>
        <v>0</v>
      </c>
      <c r="G9" s="971">
        <f>'Existing Loads'!E31</f>
        <v>0</v>
      </c>
      <c r="H9" s="971">
        <f>'Existing Loads'!F31</f>
        <v>0</v>
      </c>
      <c r="I9" s="972">
        <f>'Existing Loads'!G31</f>
        <v>0</v>
      </c>
    </row>
    <row r="10" spans="4:9" ht="12.75">
      <c r="D10" s="27"/>
      <c r="E10" s="963" t="s">
        <v>138</v>
      </c>
      <c r="F10" s="966" t="e">
        <f>'Loads with Future Practices'!D29</f>
        <v>#DIV/0!</v>
      </c>
      <c r="G10" s="139" t="e">
        <f>'Loads with Future Practices'!E29</f>
        <v>#DIV/0!</v>
      </c>
      <c r="H10" s="139" t="e">
        <f>'Loads with Future Practices'!F29</f>
        <v>#DIV/0!</v>
      </c>
      <c r="I10" s="140" t="e">
        <f>'Loads with Future Practices'!G29</f>
        <v>#DIV/0!</v>
      </c>
    </row>
    <row r="11" spans="4:9" ht="12.75">
      <c r="D11" s="7" t="s">
        <v>395</v>
      </c>
      <c r="E11" s="964" t="s">
        <v>397</v>
      </c>
      <c r="F11" s="967" t="e">
        <f>'Loads with Future Practices'!D30</f>
        <v>#DIV/0!</v>
      </c>
      <c r="G11" s="49" t="e">
        <f>'Loads with Future Practices'!E30</f>
        <v>#DIV/0!</v>
      </c>
      <c r="H11" s="49" t="e">
        <f>'Loads with Future Practices'!F30</f>
        <v>#DIV/0!</v>
      </c>
      <c r="I11" s="50" t="e">
        <f>'Loads with Future Practices'!G30</f>
        <v>#DIV/0!</v>
      </c>
    </row>
    <row r="12" spans="4:9" ht="13.5" thickBot="1">
      <c r="D12" s="974"/>
      <c r="E12" s="969" t="s">
        <v>398</v>
      </c>
      <c r="F12" s="970">
        <f>'Loads with Future Practices'!D31</f>
        <v>0</v>
      </c>
      <c r="G12" s="971">
        <f>'Loads with Future Practices'!E31</f>
        <v>0</v>
      </c>
      <c r="H12" s="971">
        <f>'Loads with Future Practices'!F31</f>
        <v>0</v>
      </c>
      <c r="I12" s="972">
        <f>'Loads with Future Practices'!G31</f>
        <v>0</v>
      </c>
    </row>
    <row r="13" spans="4:9" ht="12.75">
      <c r="D13" s="27"/>
      <c r="E13" s="963" t="s">
        <v>138</v>
      </c>
      <c r="F13" s="966" t="e">
        <f>'Loads Including Growth'!D27</f>
        <v>#DIV/0!</v>
      </c>
      <c r="G13" s="139" t="e">
        <f>'Loads Including Growth'!E27</f>
        <v>#DIV/0!</v>
      </c>
      <c r="H13" s="139" t="e">
        <f>'Loads Including Growth'!F27</f>
        <v>#DIV/0!</v>
      </c>
      <c r="I13" s="140" t="e">
        <f>'Loads Including Growth'!G27</f>
        <v>#DIV/0!</v>
      </c>
    </row>
    <row r="14" spans="4:9" ht="12.75">
      <c r="D14" s="7" t="s">
        <v>396</v>
      </c>
      <c r="E14" s="964" t="s">
        <v>397</v>
      </c>
      <c r="F14" s="967" t="e">
        <f>'Loads Including Growth'!D28</f>
        <v>#DIV/0!</v>
      </c>
      <c r="G14" s="49" t="e">
        <f>'Loads Including Growth'!E28</f>
        <v>#DIV/0!</v>
      </c>
      <c r="H14" s="49" t="e">
        <f>'Loads Including Growth'!F28</f>
        <v>#DIV/0!</v>
      </c>
      <c r="I14" s="50" t="e">
        <f>'Loads Including Growth'!G28</f>
        <v>#DIV/0!</v>
      </c>
    </row>
    <row r="15" spans="4:9" ht="13.5" thickBot="1">
      <c r="D15" s="961"/>
      <c r="E15" s="965" t="s">
        <v>398</v>
      </c>
      <c r="F15" s="968" t="e">
        <f>'Loads Including Growth'!D29</f>
        <v>#DIV/0!</v>
      </c>
      <c r="G15" s="51" t="e">
        <f>'Loads Including Growth'!E29</f>
        <v>#DIV/0!</v>
      </c>
      <c r="H15" s="51" t="e">
        <f>'Loads Including Growth'!F29</f>
        <v>#DIV/0!</v>
      </c>
      <c r="I15" s="52" t="e">
        <f>'Loads Including Growth'!G29</f>
        <v>#N/A</v>
      </c>
    </row>
    <row r="16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161"/>
  <sheetViews>
    <sheetView zoomScale="60" zoomScaleNormal="60" workbookViewId="0" topLeftCell="B91">
      <selection activeCell="C117" sqref="C117"/>
    </sheetView>
  </sheetViews>
  <sheetFormatPr defaultColWidth="9.140625" defaultRowHeight="12.75"/>
  <cols>
    <col min="1" max="1" width="9.140625" style="365" customWidth="1"/>
    <col min="2" max="2" width="71.57421875" style="25" customWidth="1"/>
    <col min="3" max="3" width="21.421875" style="0" customWidth="1"/>
    <col min="4" max="4" width="57.7109375" style="25" customWidth="1"/>
    <col min="5" max="5" width="21.421875" style="0" customWidth="1"/>
    <col min="6" max="6" width="40.7109375" style="0" customWidth="1"/>
    <col min="7" max="7" width="37.00390625" style="0" customWidth="1"/>
    <col min="8" max="8" width="33.28125" style="0" customWidth="1"/>
    <col min="9" max="9" width="31.57421875" style="0" customWidth="1"/>
    <col min="10" max="10" width="43.00390625" style="0" customWidth="1"/>
    <col min="11" max="11" width="33.8515625" style="0" customWidth="1"/>
    <col min="12" max="12" width="14.7109375" style="0" bestFit="1" customWidth="1"/>
  </cols>
  <sheetData>
    <row r="1" spans="2:8" s="220" customFormat="1" ht="21" thickBot="1">
      <c r="B1" s="863" t="s">
        <v>24</v>
      </c>
      <c r="F1" s="377"/>
      <c r="G1" s="377"/>
      <c r="H1" s="377"/>
    </row>
    <row r="2" spans="1:64" s="1" customFormat="1" ht="21.75" thickBot="1" thickTop="1">
      <c r="A2" s="220"/>
      <c r="B2" s="36" t="s">
        <v>32</v>
      </c>
      <c r="C2" s="16"/>
      <c r="D2" s="16"/>
      <c r="E2" s="5"/>
      <c r="F2" s="377"/>
      <c r="G2" s="377"/>
      <c r="H2" s="377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</row>
    <row r="3" spans="1:64" s="1" customFormat="1" ht="12.75">
      <c r="A3" s="220"/>
      <c r="B3" s="41" t="s">
        <v>33</v>
      </c>
      <c r="C3" s="203"/>
      <c r="D3" s="89" t="s">
        <v>34</v>
      </c>
      <c r="E3" s="201">
        <v>2.7</v>
      </c>
      <c r="F3" s="377"/>
      <c r="G3" s="377"/>
      <c r="H3" s="377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0"/>
      <c r="BB3" s="220"/>
      <c r="BC3" s="220"/>
      <c r="BD3" s="220"/>
      <c r="BE3" s="220"/>
      <c r="BF3" s="220"/>
      <c r="BG3" s="220"/>
      <c r="BH3" s="220"/>
      <c r="BI3" s="220"/>
      <c r="BJ3" s="220"/>
      <c r="BK3" s="220"/>
      <c r="BL3" s="220"/>
    </row>
    <row r="4" spans="1:64" s="1" customFormat="1" ht="12.75">
      <c r="A4" s="220"/>
      <c r="B4" s="78"/>
      <c r="C4" s="79"/>
      <c r="D4" s="73" t="s">
        <v>35</v>
      </c>
      <c r="E4" s="74">
        <v>70</v>
      </c>
      <c r="F4" s="377"/>
      <c r="G4" s="377"/>
      <c r="H4" s="377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</row>
    <row r="5" spans="1:64" s="1" customFormat="1" ht="12.75">
      <c r="A5" s="220"/>
      <c r="B5" s="78"/>
      <c r="C5" s="79"/>
      <c r="D5" s="101" t="s">
        <v>27</v>
      </c>
      <c r="E5" s="97"/>
      <c r="F5" s="377"/>
      <c r="G5" s="377"/>
      <c r="H5" s="377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</row>
    <row r="6" spans="1:64" s="1" customFormat="1" ht="12.75">
      <c r="A6" s="220"/>
      <c r="B6" s="78"/>
      <c r="C6" s="79"/>
      <c r="D6" s="73" t="s">
        <v>28</v>
      </c>
      <c r="E6" s="74">
        <v>60</v>
      </c>
      <c r="F6" s="377"/>
      <c r="G6" s="377"/>
      <c r="H6" s="377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</row>
    <row r="7" spans="1:64" s="1" customFormat="1" ht="12.75">
      <c r="A7" s="220"/>
      <c r="B7" s="78"/>
      <c r="C7" s="79"/>
      <c r="D7" s="73" t="s">
        <v>29</v>
      </c>
      <c r="E7" s="74">
        <v>10</v>
      </c>
      <c r="F7" s="377"/>
      <c r="G7" s="377"/>
      <c r="H7" s="377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</row>
    <row r="8" spans="1:64" s="1" customFormat="1" ht="12.75">
      <c r="A8" s="220"/>
      <c r="B8" s="78"/>
      <c r="C8" s="79"/>
      <c r="D8" s="73" t="s">
        <v>30</v>
      </c>
      <c r="E8" s="74">
        <v>400</v>
      </c>
      <c r="F8" s="377"/>
      <c r="G8" s="377"/>
      <c r="H8" s="377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</row>
    <row r="9" spans="1:64" s="1" customFormat="1" ht="13.5" thickBot="1">
      <c r="A9" s="220"/>
      <c r="B9" s="80"/>
      <c r="C9" s="81"/>
      <c r="D9" s="66" t="s">
        <v>31</v>
      </c>
      <c r="E9" s="229">
        <v>10000000</v>
      </c>
      <c r="F9" s="377"/>
      <c r="G9" s="377"/>
      <c r="H9" s="377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0"/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</row>
    <row r="10" spans="4:8" s="220" customFormat="1" ht="13.5" thickTop="1">
      <c r="D10" s="377"/>
      <c r="E10" s="377"/>
      <c r="F10" s="377"/>
      <c r="G10" s="377"/>
      <c r="H10" s="377"/>
    </row>
    <row r="11" s="220" customFormat="1" ht="12" customHeight="1" thickBot="1"/>
    <row r="12" spans="1:62" s="1" customFormat="1" ht="21.75" thickBot="1" thickTop="1">
      <c r="A12" s="220"/>
      <c r="B12" s="3" t="s">
        <v>372</v>
      </c>
      <c r="C12" s="16"/>
      <c r="D12" s="872" t="s">
        <v>373</v>
      </c>
      <c r="E12" s="377"/>
      <c r="F12" s="377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</row>
    <row r="13" spans="1:62" s="1" customFormat="1" ht="12.75">
      <c r="A13" s="220"/>
      <c r="B13" s="44" t="s">
        <v>374</v>
      </c>
      <c r="C13" s="1013"/>
      <c r="D13" s="873">
        <v>2</v>
      </c>
      <c r="E13" s="377"/>
      <c r="F13" s="377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</row>
    <row r="14" spans="1:62" s="1" customFormat="1" ht="13.5" thickBot="1">
      <c r="A14" s="220"/>
      <c r="B14" s="47" t="s">
        <v>375</v>
      </c>
      <c r="C14" s="1014"/>
      <c r="D14" s="874">
        <v>2</v>
      </c>
      <c r="E14" s="377"/>
      <c r="F14" s="377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</row>
    <row r="15" s="220" customFormat="1" ht="14.25" customHeight="1" thickBot="1" thickTop="1">
      <c r="B15" s="448"/>
    </row>
    <row r="16" spans="1:64" s="1" customFormat="1" ht="24.75" customHeight="1" thickBot="1" thickTop="1">
      <c r="A16" s="220"/>
      <c r="B16" s="864" t="s">
        <v>36</v>
      </c>
      <c r="C16" s="443"/>
      <c r="D16" s="443"/>
      <c r="E16" s="18"/>
      <c r="F16" s="449"/>
      <c r="G16" s="451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</row>
    <row r="17" spans="1:64" s="1" customFormat="1" ht="12.75">
      <c r="A17" s="220"/>
      <c r="B17" s="89" t="s">
        <v>388</v>
      </c>
      <c r="C17" s="929"/>
      <c r="D17" s="89" t="s">
        <v>37</v>
      </c>
      <c r="E17" s="113">
        <v>0.3</v>
      </c>
      <c r="F17" s="377"/>
      <c r="G17" s="461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L17" s="220"/>
      <c r="AM17" s="220"/>
      <c r="AN17" s="220"/>
      <c r="AO17" s="220"/>
      <c r="AP17" s="220"/>
      <c r="AQ17" s="220"/>
      <c r="AR17" s="220"/>
      <c r="AS17" s="220"/>
      <c r="AT17" s="220"/>
      <c r="AU17" s="220"/>
      <c r="AV17" s="220"/>
      <c r="AW17" s="220"/>
      <c r="AX17" s="220"/>
      <c r="AY17" s="220"/>
      <c r="AZ17" s="220"/>
      <c r="BA17" s="220"/>
      <c r="BB17" s="220"/>
      <c r="BC17" s="220"/>
      <c r="BD17" s="220"/>
      <c r="BE17" s="220"/>
      <c r="BF17" s="220"/>
      <c r="BG17" s="220"/>
      <c r="BH17" s="220"/>
      <c r="BI17" s="220"/>
      <c r="BJ17" s="220"/>
      <c r="BK17" s="220"/>
      <c r="BL17" s="220"/>
    </row>
    <row r="18" spans="1:64" s="1" customFormat="1" ht="12.75">
      <c r="A18" s="220"/>
      <c r="B18" s="73" t="s">
        <v>91</v>
      </c>
      <c r="C18" s="155">
        <f>C17*C3</f>
        <v>0</v>
      </c>
      <c r="D18" s="101" t="s">
        <v>38</v>
      </c>
      <c r="E18" s="79"/>
      <c r="F18" s="463" t="s">
        <v>276</v>
      </c>
      <c r="G18" s="464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</row>
    <row r="19" spans="1:64" s="1" customFormat="1" ht="13.5" customHeight="1">
      <c r="A19" s="220"/>
      <c r="B19" s="73"/>
      <c r="C19" s="79"/>
      <c r="D19" s="73" t="s">
        <v>28</v>
      </c>
      <c r="E19" s="155">
        <v>20</v>
      </c>
      <c r="F19" s="73" t="s">
        <v>28</v>
      </c>
      <c r="G19" s="74">
        <v>33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</row>
    <row r="20" spans="1:64" s="1" customFormat="1" ht="12.75">
      <c r="A20" s="220"/>
      <c r="B20" s="73"/>
      <c r="C20" s="79"/>
      <c r="D20" s="73" t="s">
        <v>29</v>
      </c>
      <c r="E20" s="155">
        <v>0</v>
      </c>
      <c r="F20" s="73" t="s">
        <v>29</v>
      </c>
      <c r="G20" s="74">
        <v>1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</row>
    <row r="21" spans="1:64" s="1" customFormat="1" ht="12.75">
      <c r="A21" s="220"/>
      <c r="B21" s="73"/>
      <c r="C21" s="79"/>
      <c r="D21" s="73" t="s">
        <v>30</v>
      </c>
      <c r="E21" s="155">
        <v>0</v>
      </c>
      <c r="F21" s="73" t="s">
        <v>30</v>
      </c>
      <c r="G21" s="74">
        <v>40</v>
      </c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</row>
    <row r="22" spans="1:64" s="1" customFormat="1" ht="14.25" customHeight="1" thickBot="1">
      <c r="A22" s="220"/>
      <c r="B22" s="66"/>
      <c r="C22" s="81"/>
      <c r="D22" s="66" t="s">
        <v>31</v>
      </c>
      <c r="E22" s="112">
        <v>0</v>
      </c>
      <c r="F22" s="66" t="s">
        <v>31</v>
      </c>
      <c r="G22" s="1003">
        <v>0</v>
      </c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  <c r="BI22" s="220"/>
      <c r="BJ22" s="220"/>
      <c r="BK22" s="220"/>
      <c r="BL22" s="220"/>
    </row>
    <row r="23" spans="2:5" s="220" customFormat="1" ht="14.25" thickBot="1" thickTop="1">
      <c r="B23" s="449"/>
      <c r="C23" s="449"/>
      <c r="D23" s="449"/>
      <c r="E23" s="449"/>
    </row>
    <row r="24" spans="2:5" s="220" customFormat="1" ht="21.75" thickBot="1" thickTop="1">
      <c r="B24" s="865" t="s">
        <v>39</v>
      </c>
      <c r="C24" s="449"/>
      <c r="D24" s="449"/>
      <c r="E24" s="451"/>
    </row>
    <row r="25" spans="1:64" s="1" customFormat="1" ht="12.75">
      <c r="A25" s="220"/>
      <c r="B25" s="41" t="s">
        <v>344</v>
      </c>
      <c r="C25" s="957">
        <f>'Primary Sources'!D52</f>
        <v>0</v>
      </c>
      <c r="D25" s="89" t="s">
        <v>40</v>
      </c>
      <c r="E25" s="201">
        <v>0.5</v>
      </c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</row>
    <row r="26" spans="1:64" s="1" customFormat="1" ht="13.5" thickBot="1">
      <c r="A26" s="220"/>
      <c r="B26" s="80"/>
      <c r="C26" s="854"/>
      <c r="D26" s="66" t="s">
        <v>52</v>
      </c>
      <c r="E26" s="75">
        <v>680</v>
      </c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  <c r="BI26" s="220"/>
      <c r="BJ26" s="220"/>
      <c r="BK26" s="220"/>
      <c r="BL26" s="220"/>
    </row>
    <row r="27" s="220" customFormat="1" ht="14.25" thickBot="1" thickTop="1"/>
    <row r="28" spans="2:5" s="220" customFormat="1" ht="21.75" thickBot="1" thickTop="1">
      <c r="B28" s="865" t="s">
        <v>41</v>
      </c>
      <c r="C28" s="449"/>
      <c r="D28" s="449"/>
      <c r="E28" s="451"/>
    </row>
    <row r="29" spans="1:64" s="1" customFormat="1" ht="12.75">
      <c r="A29" s="220"/>
      <c r="B29" s="41" t="s">
        <v>42</v>
      </c>
      <c r="C29" s="203"/>
      <c r="D29" s="89" t="s">
        <v>43</v>
      </c>
      <c r="E29" s="201">
        <v>140</v>
      </c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  <c r="BI29" s="220"/>
      <c r="BJ29" s="220"/>
      <c r="BK29" s="220"/>
      <c r="BL29" s="220"/>
    </row>
    <row r="30" spans="1:64" s="1" customFormat="1" ht="13.5" thickBot="1">
      <c r="A30" s="220"/>
      <c r="B30" s="80" t="s">
        <v>248</v>
      </c>
      <c r="C30" s="326">
        <v>0.5</v>
      </c>
      <c r="D30" s="66" t="s">
        <v>245</v>
      </c>
      <c r="E30" s="204">
        <v>90000</v>
      </c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</row>
    <row r="31" s="220" customFormat="1" ht="14.25" thickBot="1" thickTop="1"/>
    <row r="32" spans="2:5" s="220" customFormat="1" ht="21.75" thickBot="1" thickTop="1">
      <c r="B32" s="865" t="s">
        <v>44</v>
      </c>
      <c r="C32" s="449"/>
      <c r="D32" s="449"/>
      <c r="E32" s="451"/>
    </row>
    <row r="33" spans="1:64" s="1" customFormat="1" ht="14.25" customHeight="1">
      <c r="A33" s="220"/>
      <c r="B33" s="41" t="s">
        <v>47</v>
      </c>
      <c r="C33" s="203"/>
      <c r="D33" s="89" t="s">
        <v>45</v>
      </c>
      <c r="E33" s="201">
        <v>65</v>
      </c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</row>
    <row r="34" spans="1:64" s="1" customFormat="1" ht="12.75">
      <c r="A34" s="220"/>
      <c r="B34" s="78" t="s">
        <v>102</v>
      </c>
      <c r="C34" s="88"/>
      <c r="D34" s="73" t="s">
        <v>46</v>
      </c>
      <c r="E34" s="74">
        <v>0.1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</row>
    <row r="35" spans="1:64" s="1" customFormat="1" ht="12.75">
      <c r="A35" s="220"/>
      <c r="B35" s="78" t="s">
        <v>103</v>
      </c>
      <c r="C35" s="130"/>
      <c r="D35" s="101" t="s">
        <v>92</v>
      </c>
      <c r="E35" s="97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  <c r="BI35" s="220"/>
      <c r="BJ35" s="220"/>
      <c r="BK35" s="220"/>
      <c r="BL35" s="220"/>
    </row>
    <row r="36" spans="1:64" s="1" customFormat="1" ht="12.75">
      <c r="A36" s="220"/>
      <c r="B36" s="78"/>
      <c r="C36" s="79"/>
      <c r="D36" s="73" t="s">
        <v>28</v>
      </c>
      <c r="E36" s="74">
        <v>10</v>
      </c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</row>
    <row r="37" spans="1:64" s="1" customFormat="1" ht="12.75">
      <c r="A37" s="220"/>
      <c r="B37" s="78"/>
      <c r="C37" s="79"/>
      <c r="D37" s="73" t="s">
        <v>29</v>
      </c>
      <c r="E37" s="74">
        <v>2</v>
      </c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</row>
    <row r="38" spans="1:64" s="1" customFormat="1" ht="12.75">
      <c r="A38" s="220"/>
      <c r="B38" s="78"/>
      <c r="C38" s="79"/>
      <c r="D38" s="73" t="s">
        <v>30</v>
      </c>
      <c r="E38" s="74">
        <v>200</v>
      </c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</row>
    <row r="39" spans="1:64" s="1" customFormat="1" ht="13.5" thickBot="1">
      <c r="A39" s="220"/>
      <c r="B39" s="80"/>
      <c r="C39" s="81"/>
      <c r="D39" s="66" t="s">
        <v>31</v>
      </c>
      <c r="E39" s="319">
        <v>6400000</v>
      </c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</row>
    <row r="40" s="220" customFormat="1" ht="14.25" thickBot="1" thickTop="1"/>
    <row r="41" spans="2:6" s="220" customFormat="1" ht="21" thickTop="1">
      <c r="B41" s="866" t="s">
        <v>48</v>
      </c>
      <c r="C41" s="452"/>
      <c r="D41" s="452"/>
      <c r="E41" s="452"/>
      <c r="F41" s="453"/>
    </row>
    <row r="42" spans="1:64" s="1" customFormat="1" ht="12.75">
      <c r="A42" s="220"/>
      <c r="B42" s="78" t="s">
        <v>49</v>
      </c>
      <c r="C42" s="61">
        <v>0.001</v>
      </c>
      <c r="D42" s="85"/>
      <c r="E42" s="85"/>
      <c r="F42" s="97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</row>
    <row r="43" spans="1:64" s="1" customFormat="1" ht="12.75">
      <c r="A43" s="220"/>
      <c r="B43" s="78" t="s">
        <v>50</v>
      </c>
      <c r="C43" s="61">
        <f>C42*C3</f>
        <v>0</v>
      </c>
      <c r="D43" s="85"/>
      <c r="E43" s="85"/>
      <c r="F43" s="97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</row>
    <row r="44" spans="1:64" s="1" customFormat="1" ht="12.75">
      <c r="A44" s="220"/>
      <c r="B44" s="78"/>
      <c r="C44" s="218"/>
      <c r="D44" s="85"/>
      <c r="E44" s="85"/>
      <c r="F44" s="97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  <c r="AB44" s="220"/>
      <c r="AC44" s="220"/>
      <c r="AD44" s="220"/>
      <c r="AE44" s="220"/>
      <c r="AF44" s="220"/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  <c r="BI44" s="220"/>
      <c r="BJ44" s="220"/>
      <c r="BK44" s="220"/>
      <c r="BL44" s="220"/>
    </row>
    <row r="45" spans="1:64" s="1" customFormat="1" ht="12.75">
      <c r="A45" s="220"/>
      <c r="B45" s="78" t="s">
        <v>269</v>
      </c>
      <c r="C45" s="61">
        <f>SUM('Primary Sources'!D21:D25)+SUM('Primary Sources'!D31:D35)</f>
        <v>0</v>
      </c>
      <c r="D45" s="85"/>
      <c r="E45" s="85"/>
      <c r="F45" s="97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220"/>
      <c r="W45" s="220"/>
      <c r="X45" s="220"/>
      <c r="Y45" s="220"/>
      <c r="Z45" s="220"/>
      <c r="AA45" s="220"/>
      <c r="AB45" s="220"/>
      <c r="AC45" s="220"/>
      <c r="AD45" s="220"/>
      <c r="AE45" s="220"/>
      <c r="AF45" s="220"/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  <c r="BI45" s="220"/>
      <c r="BJ45" s="220"/>
      <c r="BK45" s="220"/>
      <c r="BL45" s="220"/>
    </row>
    <row r="46" spans="1:64" s="1" customFormat="1" ht="12.75">
      <c r="A46" s="220"/>
      <c r="B46" s="78" t="s">
        <v>267</v>
      </c>
      <c r="C46" s="61">
        <v>0.1</v>
      </c>
      <c r="D46" s="85"/>
      <c r="E46" s="85"/>
      <c r="F46" s="97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</row>
    <row r="47" spans="1:64" s="1" customFormat="1" ht="12.75">
      <c r="A47" s="220"/>
      <c r="B47" s="78" t="s">
        <v>268</v>
      </c>
      <c r="C47" s="61">
        <v>0.9</v>
      </c>
      <c r="D47" s="85"/>
      <c r="E47" s="85"/>
      <c r="F47" s="97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</row>
    <row r="48" spans="1:64" s="1" customFormat="1" ht="12.75">
      <c r="A48" s="220"/>
      <c r="B48" s="78" t="s">
        <v>277</v>
      </c>
      <c r="C48" s="61">
        <v>100</v>
      </c>
      <c r="D48" s="85"/>
      <c r="E48" s="85"/>
      <c r="F48" s="97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</row>
    <row r="49" spans="1:64" s="1" customFormat="1" ht="12.75">
      <c r="A49" s="220"/>
      <c r="B49" s="78" t="s">
        <v>278</v>
      </c>
      <c r="C49" s="61">
        <v>150</v>
      </c>
      <c r="D49" s="85"/>
      <c r="E49" s="85"/>
      <c r="F49" s="97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20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  <c r="BI49" s="220"/>
      <c r="BJ49" s="220"/>
      <c r="BK49" s="220"/>
      <c r="BL49" s="220"/>
    </row>
    <row r="50" spans="1:64" s="1" customFormat="1" ht="12.75">
      <c r="A50" s="220"/>
      <c r="B50" s="78"/>
      <c r="C50" s="380"/>
      <c r="D50" s="85"/>
      <c r="E50" s="85"/>
      <c r="F50" s="97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  <c r="BI50" s="220"/>
      <c r="BJ50" s="220"/>
      <c r="BK50" s="220"/>
      <c r="BL50" s="220"/>
    </row>
    <row r="51" spans="1:64" s="1" customFormat="1" ht="12.75">
      <c r="A51" s="220"/>
      <c r="B51" s="78"/>
      <c r="C51" s="218" t="s">
        <v>4</v>
      </c>
      <c r="D51" s="85" t="s">
        <v>5</v>
      </c>
      <c r="E51" s="85" t="s">
        <v>6</v>
      </c>
      <c r="F51" s="97" t="s">
        <v>8</v>
      </c>
      <c r="G51" s="220"/>
      <c r="H51" s="220"/>
      <c r="I51" s="220"/>
      <c r="J51" s="220"/>
      <c r="K51" s="220"/>
      <c r="L51" s="220"/>
      <c r="M51" s="220"/>
      <c r="N51" s="220"/>
      <c r="O51" s="220"/>
      <c r="P51" s="220"/>
      <c r="Q51" s="220"/>
      <c r="R51" s="220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  <c r="BI51" s="220"/>
      <c r="BJ51" s="220"/>
      <c r="BK51" s="220"/>
      <c r="BL51" s="220"/>
    </row>
    <row r="52" spans="1:64" s="1" customFormat="1" ht="12.75">
      <c r="A52" s="220"/>
      <c r="B52" s="217" t="s">
        <v>270</v>
      </c>
      <c r="C52" s="61">
        <v>15</v>
      </c>
      <c r="D52" s="61">
        <v>10</v>
      </c>
      <c r="E52" s="61">
        <v>150</v>
      </c>
      <c r="F52" s="74">
        <v>0</v>
      </c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  <c r="BI52" s="220"/>
      <c r="BJ52" s="220"/>
      <c r="BK52" s="220"/>
      <c r="BL52" s="220"/>
    </row>
    <row r="53" spans="1:64" s="1" customFormat="1" ht="13.5" thickBot="1">
      <c r="A53" s="220"/>
      <c r="B53" s="250" t="s">
        <v>271</v>
      </c>
      <c r="C53" s="379">
        <v>30</v>
      </c>
      <c r="D53" s="379">
        <v>10</v>
      </c>
      <c r="E53" s="379">
        <v>225</v>
      </c>
      <c r="F53" s="381">
        <v>3300000</v>
      </c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</row>
    <row r="54" s="220" customFormat="1" ht="14.25" thickBot="1" thickTop="1"/>
    <row r="55" spans="1:64" s="1" customFormat="1" ht="21.75" thickBot="1" thickTop="1">
      <c r="A55" s="220"/>
      <c r="B55" s="36" t="s">
        <v>51</v>
      </c>
      <c r="C55" s="4"/>
      <c r="D55" s="457"/>
      <c r="E55" s="451"/>
      <c r="F55" s="377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</row>
    <row r="56" spans="1:64" s="1" customFormat="1" ht="19.5" customHeight="1" thickBot="1">
      <c r="A56" s="220"/>
      <c r="B56" s="867" t="s">
        <v>367</v>
      </c>
      <c r="C56" s="855"/>
      <c r="D56" s="438"/>
      <c r="E56" s="461"/>
      <c r="F56" s="377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</row>
    <row r="57" spans="1:64" s="1" customFormat="1" ht="18" customHeight="1">
      <c r="A57" s="220"/>
      <c r="B57" s="868" t="s">
        <v>368</v>
      </c>
      <c r="C57" s="82"/>
      <c r="D57" s="856" t="s">
        <v>369</v>
      </c>
      <c r="E57" s="541"/>
      <c r="F57" s="377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  <c r="AI57" s="220"/>
      <c r="AJ57" s="220"/>
      <c r="AK57" s="220"/>
      <c r="AL57" s="220"/>
      <c r="AM57" s="220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</row>
    <row r="58" spans="1:64" s="1" customFormat="1" ht="12.75" customHeight="1">
      <c r="A58" s="220"/>
      <c r="B58" s="78" t="s">
        <v>249</v>
      </c>
      <c r="C58" s="157">
        <v>0.25</v>
      </c>
      <c r="D58" s="205" t="s">
        <v>370</v>
      </c>
      <c r="E58" s="857"/>
      <c r="F58" s="377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  <c r="AA58" s="220"/>
      <c r="AB58" s="220"/>
      <c r="AC58" s="220"/>
      <c r="AD58" s="220"/>
      <c r="AE58" s="220"/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</row>
    <row r="59" spans="1:64" s="1" customFormat="1" ht="12.75" customHeight="1">
      <c r="A59" s="220"/>
      <c r="B59" s="78" t="s">
        <v>244</v>
      </c>
      <c r="C59" s="858">
        <f>C58*'Primary Sources'!C63</f>
        <v>0</v>
      </c>
      <c r="D59" s="205" t="s">
        <v>371</v>
      </c>
      <c r="E59" s="859">
        <v>67</v>
      </c>
      <c r="F59" s="377"/>
      <c r="G59" s="220"/>
      <c r="H59" s="220"/>
      <c r="I59" s="220"/>
      <c r="J59" s="220"/>
      <c r="K59" s="220"/>
      <c r="L59" s="220"/>
      <c r="M59" s="220"/>
      <c r="N59" s="220"/>
      <c r="O59" s="220"/>
      <c r="P59" s="220"/>
      <c r="Q59" s="220"/>
      <c r="R59" s="220"/>
      <c r="S59" s="220"/>
      <c r="T59" s="220"/>
      <c r="U59" s="220"/>
      <c r="V59" s="220"/>
      <c r="W59" s="220"/>
      <c r="X59" s="220"/>
      <c r="Y59" s="220"/>
      <c r="Z59" s="220"/>
      <c r="AA59" s="220"/>
      <c r="AB59" s="220"/>
      <c r="AC59" s="220"/>
      <c r="AD59" s="220"/>
      <c r="AE59" s="220"/>
      <c r="AF59" s="220"/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</row>
    <row r="60" spans="1:64" s="1" customFormat="1" ht="14.25" customHeight="1" thickBot="1">
      <c r="A60" s="220"/>
      <c r="B60" s="80" t="s">
        <v>235</v>
      </c>
      <c r="C60" s="860" t="e">
        <f>(C59-(SUM(E113:E117)+SUM(E119:E124)+'Primary Sources'!P54-SUM('Existing Management Practices'!E129:E138))/2000)/'Primary Sources'!C64</f>
        <v>#DIV/0!</v>
      </c>
      <c r="D60" s="1004" t="s">
        <v>400</v>
      </c>
      <c r="E60" s="1005">
        <v>100</v>
      </c>
      <c r="F60" s="377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20"/>
      <c r="S60" s="220"/>
      <c r="T60" s="220"/>
      <c r="U60" s="220"/>
      <c r="V60" s="220"/>
      <c r="W60" s="220"/>
      <c r="X60" s="220"/>
      <c r="Y60" s="220"/>
      <c r="Z60" s="220"/>
      <c r="AA60" s="220"/>
      <c r="AB60" s="220"/>
      <c r="AC60" s="220"/>
      <c r="AD60" s="220"/>
      <c r="AE60" s="220"/>
      <c r="AF60" s="220"/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</row>
    <row r="61" spans="1:64" s="1" customFormat="1" ht="14.25" customHeight="1" thickBot="1" thickTop="1">
      <c r="A61" s="220"/>
      <c r="B61" s="80" t="s">
        <v>265</v>
      </c>
      <c r="C61" s="375">
        <v>100</v>
      </c>
      <c r="D61" s="861" t="str">
        <f>"Portion of development w/in last "&amp;E59&amp;" years (%)"</f>
        <v>Portion of development w/in last 67 years (%)</v>
      </c>
      <c r="E61" s="930"/>
      <c r="F61" s="377"/>
      <c r="G61" s="220"/>
      <c r="H61" s="220"/>
      <c r="I61" s="220"/>
      <c r="J61" s="220"/>
      <c r="K61" s="220"/>
      <c r="L61" s="220"/>
      <c r="M61" s="220"/>
      <c r="N61" s="220"/>
      <c r="O61" s="220"/>
      <c r="P61" s="220"/>
      <c r="Q61" s="220"/>
      <c r="R61" s="220"/>
      <c r="S61" s="220"/>
      <c r="T61" s="220"/>
      <c r="U61" s="220"/>
      <c r="V61" s="220"/>
      <c r="W61" s="220"/>
      <c r="X61" s="220"/>
      <c r="Y61" s="220"/>
      <c r="Z61" s="220"/>
      <c r="AA61" s="220"/>
      <c r="AB61" s="220"/>
      <c r="AC61" s="220"/>
      <c r="AD61" s="220"/>
      <c r="AE61" s="220"/>
      <c r="AF61" s="220"/>
      <c r="AG61" s="220"/>
      <c r="AH61" s="220"/>
      <c r="AI61" s="220"/>
      <c r="AJ61" s="220"/>
      <c r="AK61" s="220"/>
      <c r="AL61" s="220"/>
      <c r="AM61" s="220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</row>
    <row r="62" spans="2:5" s="220" customFormat="1" ht="13.5" customHeight="1" thickTop="1">
      <c r="B62" s="6"/>
      <c r="C62" s="1006"/>
      <c r="D62" s="454"/>
      <c r="E62" s="377"/>
    </row>
    <row r="63" s="220" customFormat="1" ht="21" customHeight="1" thickBot="1"/>
    <row r="64" spans="1:82" s="1" customFormat="1" ht="26.25" customHeight="1" thickBot="1" thickTop="1">
      <c r="A64" s="220"/>
      <c r="B64" s="865" t="s">
        <v>53</v>
      </c>
      <c r="C64" s="449"/>
      <c r="D64" s="449"/>
      <c r="E64" s="444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20"/>
      <c r="U64" s="220"/>
      <c r="V64" s="220"/>
      <c r="W64" s="220"/>
      <c r="X64" s="220"/>
      <c r="Y64" s="220"/>
      <c r="Z64" s="220"/>
      <c r="AA64" s="220"/>
      <c r="AB64" s="220"/>
      <c r="AC64" s="220"/>
      <c r="AD64" s="220"/>
      <c r="AE64" s="220"/>
      <c r="AF64" s="220"/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</row>
    <row r="65" spans="1:64" s="1" customFormat="1" ht="12.75">
      <c r="A65" s="220"/>
      <c r="B65" s="41"/>
      <c r="C65" s="87" t="s">
        <v>3</v>
      </c>
      <c r="D65" s="539" t="s">
        <v>208</v>
      </c>
      <c r="E65" s="541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20"/>
      <c r="Z65" s="220"/>
      <c r="AA65" s="220"/>
      <c r="AB65" s="220"/>
      <c r="AC65" s="220"/>
      <c r="AD65" s="220"/>
      <c r="AE65" s="220"/>
      <c r="AF65" s="220"/>
      <c r="AG65" s="220"/>
      <c r="AH65" s="220"/>
      <c r="AI65" s="220"/>
      <c r="AJ65" s="220"/>
      <c r="AK65" s="220"/>
      <c r="AL65" s="220"/>
      <c r="AM65" s="220"/>
      <c r="AN65" s="220"/>
      <c r="AO65" s="220"/>
      <c r="AP65" s="220"/>
      <c r="AQ65" s="220"/>
      <c r="AR65" s="220"/>
      <c r="AS65" s="220"/>
      <c r="AT65" s="220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</row>
    <row r="66" spans="1:64" s="1" customFormat="1" ht="12.75">
      <c r="A66" s="220"/>
      <c r="B66" s="78" t="s">
        <v>94</v>
      </c>
      <c r="C66" s="130"/>
      <c r="D66" s="159">
        <v>0.45</v>
      </c>
      <c r="E66" s="480"/>
      <c r="F66" s="220"/>
      <c r="G66" s="220"/>
      <c r="H66" s="220"/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  <c r="BI66" s="220"/>
      <c r="BJ66" s="220"/>
      <c r="BK66" s="220"/>
      <c r="BL66" s="220"/>
    </row>
    <row r="67" spans="1:64" s="1" customFormat="1" ht="12.75">
      <c r="A67" s="220"/>
      <c r="B67" s="78" t="s">
        <v>95</v>
      </c>
      <c r="C67" s="130"/>
      <c r="D67" s="159">
        <v>0.3</v>
      </c>
      <c r="E67" s="480"/>
      <c r="F67" s="220"/>
      <c r="G67" s="220"/>
      <c r="H67" s="220"/>
      <c r="I67" s="220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20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0"/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  <c r="BI67" s="220"/>
      <c r="BJ67" s="220"/>
      <c r="BK67" s="220"/>
      <c r="BL67" s="220"/>
    </row>
    <row r="68" spans="1:64" s="1" customFormat="1" ht="12.75">
      <c r="A68" s="220"/>
      <c r="B68" s="78" t="s">
        <v>96</v>
      </c>
      <c r="C68" s="130"/>
      <c r="D68" s="159">
        <v>0.15</v>
      </c>
      <c r="E68" s="480"/>
      <c r="F68" s="220"/>
      <c r="G68" s="220"/>
      <c r="H68" s="220"/>
      <c r="I68" s="220"/>
      <c r="J68" s="220"/>
      <c r="K68" s="220"/>
      <c r="L68" s="220"/>
      <c r="M68" s="220"/>
      <c r="N68" s="220"/>
      <c r="O68" s="220"/>
      <c r="P68" s="220"/>
      <c r="Q68" s="220"/>
      <c r="R68" s="220"/>
      <c r="S68" s="220"/>
      <c r="T68" s="220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0"/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  <c r="BI68" s="220"/>
      <c r="BJ68" s="220"/>
      <c r="BK68" s="220"/>
      <c r="BL68" s="220"/>
    </row>
    <row r="69" spans="1:64" s="1" customFormat="1" ht="12.75">
      <c r="A69" s="220"/>
      <c r="B69" s="78" t="s">
        <v>97</v>
      </c>
      <c r="C69" s="130"/>
      <c r="D69" s="159">
        <v>0.075</v>
      </c>
      <c r="E69" s="48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20"/>
      <c r="Z69" s="220"/>
      <c r="AA69" s="220"/>
      <c r="AB69" s="220"/>
      <c r="AC69" s="220"/>
      <c r="AD69" s="220"/>
      <c r="AE69" s="220"/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  <c r="BI69" s="220"/>
      <c r="BJ69" s="220"/>
      <c r="BK69" s="220"/>
      <c r="BL69" s="220"/>
    </row>
    <row r="70" spans="1:64" s="1" customFormat="1" ht="12.75">
      <c r="A70" s="220"/>
      <c r="B70" s="78"/>
      <c r="C70" s="79"/>
      <c r="D70" s="540"/>
      <c r="E70" s="461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0"/>
      <c r="X70" s="220"/>
      <c r="Y70" s="220"/>
      <c r="Z70" s="220"/>
      <c r="AA70" s="220"/>
      <c r="AB70" s="220"/>
      <c r="AC70" s="220"/>
      <c r="AD70" s="220"/>
      <c r="AE70" s="220"/>
      <c r="AF70" s="220"/>
      <c r="AG70" s="220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</row>
    <row r="71" spans="1:64" s="1" customFormat="1" ht="12.75">
      <c r="A71" s="220"/>
      <c r="B71" s="78" t="s">
        <v>54</v>
      </c>
      <c r="C71" s="155">
        <f>0.8*(SUM('Primary Sources'!D11:D20)-SUMPRODUCT('Primary Sources'!D11:D20,'Primary Sources'!E11:E20)/100)</f>
        <v>0</v>
      </c>
      <c r="D71" s="214"/>
      <c r="E71" s="542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</row>
    <row r="72" spans="1:64" s="1" customFormat="1" ht="12.75">
      <c r="A72" s="220"/>
      <c r="B72" s="78" t="s">
        <v>93</v>
      </c>
      <c r="C72" s="155">
        <v>2</v>
      </c>
      <c r="D72" s="159" t="s">
        <v>310</v>
      </c>
      <c r="E72" s="74">
        <v>0.03</v>
      </c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20"/>
      <c r="BK72" s="220"/>
      <c r="BL72" s="220"/>
    </row>
    <row r="73" spans="2:82" s="220" customFormat="1" ht="13.5" thickBot="1">
      <c r="B73" s="80" t="s">
        <v>250</v>
      </c>
      <c r="C73" s="112">
        <v>0.8</v>
      </c>
      <c r="D73" s="490"/>
      <c r="E73" s="49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</row>
    <row r="74" s="220" customFormat="1" ht="14.25" thickBot="1" thickTop="1"/>
    <row r="75" spans="1:82" s="1" customFormat="1" ht="21.75" thickBot="1" thickTop="1">
      <c r="A75" s="220"/>
      <c r="B75" s="865" t="s">
        <v>55</v>
      </c>
      <c r="C75" s="449"/>
      <c r="D75" s="449"/>
      <c r="E75" s="449"/>
      <c r="F75" s="449"/>
      <c r="G75" s="443"/>
      <c r="H75" s="449"/>
      <c r="I75" s="443"/>
      <c r="J75" s="444"/>
      <c r="K75" s="220"/>
      <c r="L75" s="220"/>
      <c r="M75" s="220"/>
      <c r="N75" s="220"/>
      <c r="O75" s="220"/>
      <c r="P75" s="220"/>
      <c r="Q75" s="220"/>
      <c r="R75" s="220"/>
      <c r="S75" s="220"/>
      <c r="T75" s="220"/>
      <c r="U75" s="220"/>
      <c r="V75" s="220"/>
      <c r="W75" s="220"/>
      <c r="X75" s="220"/>
      <c r="Y75" s="220"/>
      <c r="Z75" s="220"/>
      <c r="AA75" s="220"/>
      <c r="AB75" s="220"/>
      <c r="AC75" s="220"/>
      <c r="AD75" s="220"/>
      <c r="AE75" s="220"/>
      <c r="AF75" s="220"/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  <c r="BI75" s="220"/>
      <c r="BJ75" s="220"/>
      <c r="BK75" s="220"/>
      <c r="BL75" s="220"/>
      <c r="BM75" s="220"/>
      <c r="BN75" s="220"/>
      <c r="BO75" s="220"/>
      <c r="BP75" s="220"/>
      <c r="BQ75" s="220"/>
      <c r="BR75" s="220"/>
      <c r="BS75" s="220"/>
      <c r="BT75" s="220"/>
      <c r="BU75" s="220"/>
      <c r="BV75" s="220"/>
      <c r="BW75" s="220"/>
      <c r="BX75" s="220"/>
      <c r="BY75" s="220"/>
      <c r="BZ75" s="220"/>
      <c r="CA75" s="220"/>
      <c r="CB75" s="220"/>
      <c r="CC75" s="220"/>
      <c r="CD75" s="220"/>
    </row>
    <row r="76" spans="1:65" s="1" customFormat="1" ht="12.75">
      <c r="A76" s="220"/>
      <c r="B76" s="41"/>
      <c r="C76" s="87" t="s">
        <v>57</v>
      </c>
      <c r="D76" s="919" t="s">
        <v>382</v>
      </c>
      <c r="E76" s="539" t="s">
        <v>58</v>
      </c>
      <c r="F76" s="926" t="s">
        <v>385</v>
      </c>
      <c r="G76" s="539" t="s">
        <v>59</v>
      </c>
      <c r="H76" s="926" t="s">
        <v>386</v>
      </c>
      <c r="I76" s="925" t="s">
        <v>307</v>
      </c>
      <c r="J76" s="43" t="s">
        <v>387</v>
      </c>
      <c r="K76" s="220"/>
      <c r="L76" s="220"/>
      <c r="M76" s="220"/>
      <c r="N76" s="220"/>
      <c r="O76" s="220"/>
      <c r="P76" s="220"/>
      <c r="Q76" s="220"/>
      <c r="R76" s="220"/>
      <c r="S76" s="220"/>
      <c r="T76" s="220"/>
      <c r="U76" s="220"/>
      <c r="V76" s="220"/>
      <c r="W76" s="220"/>
      <c r="X76" s="220"/>
      <c r="Y76" s="220"/>
      <c r="Z76" s="220"/>
      <c r="AA76" s="220"/>
      <c r="AB76" s="220"/>
      <c r="AC76" s="220"/>
      <c r="AD76" s="220"/>
      <c r="AE76" s="220"/>
      <c r="AF76" s="220"/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  <c r="BI76" s="220"/>
      <c r="BJ76" s="220"/>
      <c r="BK76" s="220"/>
      <c r="BL76" s="220"/>
      <c r="BM76" s="220"/>
    </row>
    <row r="77" spans="1:65" s="1" customFormat="1" ht="12.75">
      <c r="A77" s="220"/>
      <c r="B77" s="78" t="s">
        <v>380</v>
      </c>
      <c r="C77" s="221"/>
      <c r="D77" s="920">
        <v>1</v>
      </c>
      <c r="E77" s="300">
        <v>175</v>
      </c>
      <c r="F77" s="923">
        <f>$C77*$D77*E77*E$82</f>
        <v>0</v>
      </c>
      <c r="G77" s="300">
        <v>30</v>
      </c>
      <c r="H77" s="923">
        <f>$C77*$D77*G77*G$82</f>
        <v>0</v>
      </c>
      <c r="I77" s="924">
        <v>2000</v>
      </c>
      <c r="J77" s="923">
        <f>$C77*$D77*I77*I$82</f>
        <v>0</v>
      </c>
      <c r="K77" s="220"/>
      <c r="L77" s="220"/>
      <c r="M77" s="220"/>
      <c r="N77" s="220"/>
      <c r="O77" s="220"/>
      <c r="P77" s="220"/>
      <c r="Q77" s="220"/>
      <c r="R77" s="220"/>
      <c r="S77" s="220"/>
      <c r="T77" s="220"/>
      <c r="U77" s="220"/>
      <c r="V77" s="220"/>
      <c r="W77" s="220"/>
      <c r="X77" s="220"/>
      <c r="Y77" s="220"/>
      <c r="Z77" s="220"/>
      <c r="AA77" s="220"/>
      <c r="AB77" s="220"/>
      <c r="AC77" s="220"/>
      <c r="AD77" s="220"/>
      <c r="AE77" s="220"/>
      <c r="AF77" s="220"/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  <c r="BI77" s="220"/>
      <c r="BJ77" s="220"/>
      <c r="BK77" s="220"/>
      <c r="BL77" s="220"/>
      <c r="BM77" s="220"/>
    </row>
    <row r="78" spans="1:65" s="1" customFormat="1" ht="12.75">
      <c r="A78" s="220"/>
      <c r="B78" s="78" t="s">
        <v>379</v>
      </c>
      <c r="C78" s="221"/>
      <c r="D78" s="920">
        <v>0.15</v>
      </c>
      <c r="E78" s="300">
        <v>0.9</v>
      </c>
      <c r="F78" s="923">
        <f>$C78*$D78*E78*E$82</f>
        <v>0</v>
      </c>
      <c r="G78" s="300">
        <f>100/250</f>
        <v>0.4</v>
      </c>
      <c r="H78" s="923">
        <f>$C78*$D78*G78*G$82</f>
        <v>0</v>
      </c>
      <c r="I78" s="924">
        <v>88</v>
      </c>
      <c r="J78" s="923">
        <f>$C78*$D78*I78*I$82</f>
        <v>0</v>
      </c>
      <c r="K78" s="220"/>
      <c r="L78" s="220"/>
      <c r="M78" s="220"/>
      <c r="N78" s="220"/>
      <c r="O78" s="220"/>
      <c r="P78" s="220"/>
      <c r="Q78" s="220"/>
      <c r="R78" s="220"/>
      <c r="S78" s="220"/>
      <c r="T78" s="220"/>
      <c r="U78" s="220"/>
      <c r="V78" s="220"/>
      <c r="W78" s="220"/>
      <c r="X78" s="220"/>
      <c r="Y78" s="220"/>
      <c r="Z78" s="220"/>
      <c r="AA78" s="220"/>
      <c r="AB78" s="220"/>
      <c r="AC78" s="220"/>
      <c r="AD78" s="220"/>
      <c r="AE78" s="220"/>
      <c r="AF78" s="220"/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BM78" s="220"/>
    </row>
    <row r="79" spans="1:65" s="1" customFormat="1" ht="12.75">
      <c r="A79" s="220"/>
      <c r="B79" s="78" t="s">
        <v>381</v>
      </c>
      <c r="C79" s="221"/>
      <c r="D79" s="920">
        <v>0.15</v>
      </c>
      <c r="E79" s="300">
        <v>0.8</v>
      </c>
      <c r="F79" s="923">
        <f>$C79*$D79*E79*E$82</f>
        <v>0</v>
      </c>
      <c r="G79" s="300">
        <v>0.2</v>
      </c>
      <c r="H79" s="923">
        <f>$C79*$D79*G79*G$82</f>
        <v>0</v>
      </c>
      <c r="I79" s="924">
        <v>88</v>
      </c>
      <c r="J79" s="923">
        <f>$C79*$D79*I79*I$82</f>
        <v>0</v>
      </c>
      <c r="K79" s="220"/>
      <c r="L79" s="220"/>
      <c r="M79" s="220"/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BL79" s="220"/>
      <c r="BM79" s="220"/>
    </row>
    <row r="80" spans="1:65" s="1" customFormat="1" ht="12.75">
      <c r="A80" s="220"/>
      <c r="B80" s="78" t="s">
        <v>383</v>
      </c>
      <c r="C80" s="221"/>
      <c r="D80" s="920">
        <v>0.15</v>
      </c>
      <c r="E80" s="300">
        <v>3</v>
      </c>
      <c r="F80" s="923">
        <f>$C80*$D80*E80*E$82</f>
        <v>0</v>
      </c>
      <c r="G80" s="300">
        <v>0.8</v>
      </c>
      <c r="H80" s="923">
        <f>$C80*$D80*G80*G$82</f>
        <v>0</v>
      </c>
      <c r="I80" s="924">
        <v>47</v>
      </c>
      <c r="J80" s="923">
        <f>$C80*$D80*I80*I$82</f>
        <v>0</v>
      </c>
      <c r="K80" s="220"/>
      <c r="L80" s="220"/>
      <c r="M80" s="220"/>
      <c r="N80" s="220"/>
      <c r="O80" s="220"/>
      <c r="P80" s="220"/>
      <c r="Q80" s="220"/>
      <c r="R80" s="220"/>
      <c r="S80" s="220"/>
      <c r="T80" s="220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0"/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BL80" s="220"/>
      <c r="BM80" s="220"/>
    </row>
    <row r="81" spans="1:65" s="1" customFormat="1" ht="12.75">
      <c r="A81" s="220"/>
      <c r="B81" s="78" t="s">
        <v>56</v>
      </c>
      <c r="C81" s="221"/>
      <c r="D81" s="920">
        <v>1</v>
      </c>
      <c r="E81" s="300">
        <v>32</v>
      </c>
      <c r="F81" s="923">
        <f>$C81*$D81*E81*E$82</f>
        <v>0</v>
      </c>
      <c r="G81" s="300">
        <v>7.4</v>
      </c>
      <c r="H81" s="923">
        <f>$C81*$D81*G81*G$82</f>
        <v>0</v>
      </c>
      <c r="I81" s="924">
        <v>3200</v>
      </c>
      <c r="J81" s="923">
        <f>$C81*$D81*I81*I$82</f>
        <v>0</v>
      </c>
      <c r="K81" s="220"/>
      <c r="L81" s="220"/>
      <c r="M81" s="220"/>
      <c r="N81" s="220"/>
      <c r="O81" s="220"/>
      <c r="P81" s="220"/>
      <c r="Q81" s="220"/>
      <c r="R81" s="220"/>
      <c r="S81" s="220"/>
      <c r="T81" s="220"/>
      <c r="U81" s="220"/>
      <c r="V81" s="220"/>
      <c r="W81" s="220"/>
      <c r="X81" s="220"/>
      <c r="Y81" s="220"/>
      <c r="Z81" s="220"/>
      <c r="AA81" s="220"/>
      <c r="AB81" s="220"/>
      <c r="AC81" s="220"/>
      <c r="AD81" s="220"/>
      <c r="AE81" s="220"/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BL81" s="220"/>
      <c r="BM81" s="220"/>
    </row>
    <row r="82" spans="2:82" s="220" customFormat="1" ht="13.5" thickBot="1">
      <c r="B82" s="80" t="s">
        <v>98</v>
      </c>
      <c r="C82" s="222"/>
      <c r="D82" s="922"/>
      <c r="E82" s="935">
        <v>0.15</v>
      </c>
      <c r="F82" s="1012">
        <f>SUM(F77:F81)</f>
        <v>0</v>
      </c>
      <c r="G82" s="935">
        <v>0.1</v>
      </c>
      <c r="H82" s="1012">
        <f>SUM(H77:H81)</f>
        <v>0</v>
      </c>
      <c r="I82" s="936">
        <v>0.05</v>
      </c>
      <c r="J82" s="1012">
        <f>SUM(J77:J81)</f>
        <v>0</v>
      </c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</row>
    <row r="83" s="220" customFormat="1" ht="14.25" thickBot="1" thickTop="1"/>
    <row r="84" spans="1:82" s="1" customFormat="1" ht="21.75" thickBot="1" thickTop="1">
      <c r="A84" s="220"/>
      <c r="B84" s="865" t="s">
        <v>60</v>
      </c>
      <c r="C84" s="449"/>
      <c r="D84" s="449"/>
      <c r="E84" s="451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220"/>
      <c r="Q84" s="220"/>
      <c r="R84" s="220"/>
      <c r="S84" s="220"/>
      <c r="T84" s="220"/>
      <c r="U84" s="220"/>
      <c r="V84" s="220"/>
      <c r="W84" s="220"/>
      <c r="X84" s="220"/>
      <c r="Y84" s="220"/>
      <c r="Z84" s="220"/>
      <c r="AA84" s="220"/>
      <c r="AB84" s="220"/>
      <c r="AC84" s="220"/>
      <c r="AD84" s="220"/>
      <c r="AE84" s="220"/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BL84" s="220"/>
      <c r="BM84" s="220"/>
      <c r="BN84" s="220"/>
      <c r="BO84" s="220"/>
      <c r="BP84" s="220"/>
      <c r="BQ84" s="220"/>
      <c r="BR84" s="220"/>
      <c r="BS84" s="220"/>
      <c r="BT84" s="220"/>
      <c r="BU84" s="220"/>
      <c r="BV84" s="220"/>
      <c r="BW84" s="220"/>
      <c r="BX84" s="220"/>
      <c r="BY84" s="220"/>
      <c r="BZ84" s="220"/>
      <c r="CA84" s="220"/>
      <c r="CB84" s="220"/>
      <c r="CC84" s="220"/>
      <c r="CD84" s="220"/>
    </row>
    <row r="85" spans="1:64" s="1" customFormat="1" ht="12.75">
      <c r="A85" s="220"/>
      <c r="B85" s="78" t="s">
        <v>23</v>
      </c>
      <c r="C85" s="221"/>
      <c r="D85" s="89" t="s">
        <v>62</v>
      </c>
      <c r="E85" s="223">
        <v>0.5</v>
      </c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0"/>
      <c r="X85" s="220"/>
      <c r="Y85" s="220"/>
      <c r="Z85" s="220"/>
      <c r="AA85" s="220"/>
      <c r="AB85" s="220"/>
      <c r="AC85" s="220"/>
      <c r="AD85" s="220"/>
      <c r="AE85" s="220"/>
      <c r="AF85" s="220"/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BL85" s="220"/>
    </row>
    <row r="86" spans="1:64" s="1" customFormat="1" ht="12.75">
      <c r="A86" s="220"/>
      <c r="B86" s="78" t="s">
        <v>61</v>
      </c>
      <c r="C86" s="221"/>
      <c r="D86" s="73" t="s">
        <v>63</v>
      </c>
      <c r="E86" s="70">
        <v>8</v>
      </c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220"/>
      <c r="Q86" s="220"/>
      <c r="R86" s="220"/>
      <c r="S86" s="220"/>
      <c r="T86" s="220"/>
      <c r="U86" s="220"/>
      <c r="V86" s="220"/>
      <c r="W86" s="220"/>
      <c r="X86" s="220"/>
      <c r="Y86" s="220"/>
      <c r="Z86" s="220"/>
      <c r="AA86" s="220"/>
      <c r="AB86" s="220"/>
      <c r="AC86" s="220"/>
      <c r="AD86" s="220"/>
      <c r="AE86" s="220"/>
      <c r="AF86" s="220"/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BL86" s="220"/>
    </row>
    <row r="87" spans="2:82" s="220" customFormat="1" ht="13.5" thickBot="1">
      <c r="B87" s="80"/>
      <c r="C87" s="81"/>
      <c r="D87" s="66" t="s">
        <v>64</v>
      </c>
      <c r="E87" s="224">
        <v>2</v>
      </c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</row>
    <row r="88" spans="2:5" s="220" customFormat="1" ht="14.25" thickBot="1" thickTop="1">
      <c r="B88" s="377"/>
      <c r="C88" s="377"/>
      <c r="D88" s="377"/>
      <c r="E88" s="377"/>
    </row>
    <row r="89" spans="1:82" s="1" customFormat="1" ht="21.75" thickBot="1" thickTop="1">
      <c r="A89" s="220"/>
      <c r="B89" s="865" t="s">
        <v>65</v>
      </c>
      <c r="C89" s="449"/>
      <c r="D89" s="449"/>
      <c r="E89" s="451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P89" s="220"/>
      <c r="Q89" s="220"/>
      <c r="R89" s="220"/>
      <c r="S89" s="220"/>
      <c r="T89" s="220"/>
      <c r="U89" s="220"/>
      <c r="V89" s="220"/>
      <c r="W89" s="220"/>
      <c r="X89" s="220"/>
      <c r="Y89" s="220"/>
      <c r="Z89" s="220"/>
      <c r="AA89" s="220"/>
      <c r="AB89" s="220"/>
      <c r="AC89" s="220"/>
      <c r="AD89" s="220"/>
      <c r="AE89" s="220"/>
      <c r="AF89" s="220"/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20"/>
      <c r="BM89" s="220"/>
      <c r="BN89" s="220"/>
      <c r="BO89" s="220"/>
      <c r="BP89" s="220"/>
      <c r="BQ89" s="220"/>
      <c r="BR89" s="220"/>
      <c r="BS89" s="220"/>
      <c r="BT89" s="220"/>
      <c r="BU89" s="220"/>
      <c r="BV89" s="220"/>
      <c r="BW89" s="220"/>
      <c r="BX89" s="220"/>
      <c r="BY89" s="220"/>
      <c r="BZ89" s="220"/>
      <c r="CA89" s="220"/>
      <c r="CB89" s="220"/>
      <c r="CC89" s="220"/>
      <c r="CD89" s="220"/>
    </row>
    <row r="90" spans="1:64" s="1" customFormat="1" ht="12.75">
      <c r="A90" s="220"/>
      <c r="B90" s="27" t="s">
        <v>66</v>
      </c>
      <c r="C90" s="202"/>
      <c r="D90" s="89" t="s">
        <v>68</v>
      </c>
      <c r="E90" s="201">
        <v>0.9</v>
      </c>
      <c r="F90" s="220"/>
      <c r="G90" s="220"/>
      <c r="H90" s="220"/>
      <c r="I90" s="220"/>
      <c r="J90" s="220"/>
      <c r="K90" s="220"/>
      <c r="L90" s="220"/>
      <c r="M90" s="220"/>
      <c r="N90" s="220"/>
      <c r="O90" s="220"/>
      <c r="P90" s="220"/>
      <c r="Q90" s="220"/>
      <c r="R90" s="220"/>
      <c r="S90" s="220"/>
      <c r="T90" s="220"/>
      <c r="U90" s="220"/>
      <c r="V90" s="220"/>
      <c r="W90" s="220"/>
      <c r="X90" s="220"/>
      <c r="Y90" s="220"/>
      <c r="Z90" s="220"/>
      <c r="AA90" s="220"/>
      <c r="AB90" s="220"/>
      <c r="AC90" s="220"/>
      <c r="AD90" s="220"/>
      <c r="AE90" s="220"/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20"/>
    </row>
    <row r="91" spans="2:82" s="220" customFormat="1" ht="13.5" thickBot="1">
      <c r="B91" s="8" t="s">
        <v>67</v>
      </c>
      <c r="C91" s="937"/>
      <c r="D91" s="66" t="s">
        <v>69</v>
      </c>
      <c r="E91" s="75">
        <v>0.35</v>
      </c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</row>
    <row r="92" spans="4:5" s="220" customFormat="1" ht="14.25" thickBot="1" thickTop="1">
      <c r="D92" s="377"/>
      <c r="E92" s="365"/>
    </row>
    <row r="93" spans="1:82" s="1" customFormat="1" ht="21.75" thickBot="1" thickTop="1">
      <c r="A93" s="220"/>
      <c r="B93" s="865" t="s">
        <v>70</v>
      </c>
      <c r="C93" s="455"/>
      <c r="D93" s="456"/>
      <c r="E93" s="457"/>
      <c r="F93" s="449"/>
      <c r="G93" s="458"/>
      <c r="H93" s="458"/>
      <c r="I93" s="449"/>
      <c r="J93" s="449"/>
      <c r="K93" s="451"/>
      <c r="L93" s="220"/>
      <c r="M93" s="220"/>
      <c r="N93" s="220"/>
      <c r="O93" s="220"/>
      <c r="P93" s="220"/>
      <c r="Q93" s="220"/>
      <c r="R93" s="220"/>
      <c r="S93" s="220"/>
      <c r="T93" s="220"/>
      <c r="U93" s="220"/>
      <c r="V93" s="220"/>
      <c r="W93" s="220"/>
      <c r="X93" s="220"/>
      <c r="Y93" s="220"/>
      <c r="Z93" s="220"/>
      <c r="AA93" s="220"/>
      <c r="AB93" s="220"/>
      <c r="AC93" s="220"/>
      <c r="AD93" s="220"/>
      <c r="AE93" s="220"/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20"/>
      <c r="BM93" s="220"/>
      <c r="BN93" s="220"/>
      <c r="BO93" s="220"/>
      <c r="BP93" s="220"/>
      <c r="BQ93" s="220"/>
      <c r="BR93" s="220"/>
      <c r="BS93" s="220"/>
      <c r="BT93" s="220"/>
      <c r="BU93" s="220"/>
      <c r="BV93" s="220"/>
      <c r="BW93" s="220"/>
      <c r="BX93" s="220"/>
      <c r="BY93" s="220"/>
      <c r="BZ93" s="220"/>
      <c r="CA93" s="220"/>
      <c r="CB93" s="220"/>
      <c r="CC93" s="220"/>
      <c r="CD93" s="220"/>
    </row>
    <row r="94" spans="1:64" s="1" customFormat="1" ht="13.5" thickBot="1">
      <c r="A94" s="220"/>
      <c r="B94" s="196"/>
      <c r="C94" s="862" t="s">
        <v>228</v>
      </c>
      <c r="D94" s="294" t="s">
        <v>229</v>
      </c>
      <c r="E94" s="292" t="s">
        <v>81</v>
      </c>
      <c r="F94" s="291" t="s">
        <v>230</v>
      </c>
      <c r="G94" s="150" t="s">
        <v>82</v>
      </c>
      <c r="H94" s="216" t="s">
        <v>231</v>
      </c>
      <c r="I94" s="216" t="s">
        <v>83</v>
      </c>
      <c r="J94" s="215" t="s">
        <v>232</v>
      </c>
      <c r="K94" s="460" t="s">
        <v>100</v>
      </c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  <c r="BI94" s="220"/>
      <c r="BJ94" s="220"/>
      <c r="BK94" s="220"/>
      <c r="BL94" s="220"/>
    </row>
    <row r="95" spans="1:64" s="1" customFormat="1" ht="12.75">
      <c r="A95" s="220"/>
      <c r="B95" s="41" t="s">
        <v>71</v>
      </c>
      <c r="C95" s="742"/>
      <c r="D95" s="111"/>
      <c r="E95" s="297">
        <f aca="true" t="shared" si="0" ref="E95:E104">D95*$C95*3039</f>
        <v>0</v>
      </c>
      <c r="F95" s="114"/>
      <c r="G95" s="298">
        <f aca="true" t="shared" si="1" ref="G95:G104">F95*$C95*3039</f>
        <v>0</v>
      </c>
      <c r="H95" s="111"/>
      <c r="I95" s="297">
        <f aca="true" t="shared" si="2" ref="I95:I104">H95*$C95*3039</f>
        <v>0</v>
      </c>
      <c r="J95" s="114"/>
      <c r="K95" s="223">
        <f aca="true" t="shared" si="3" ref="K95:K104">J95*$C95*13.8</f>
        <v>0</v>
      </c>
      <c r="L95" s="431"/>
      <c r="M95" s="220"/>
      <c r="N95" s="220"/>
      <c r="O95" s="220"/>
      <c r="P95" s="220"/>
      <c r="Q95" s="220"/>
      <c r="R95" s="220"/>
      <c r="S95" s="220"/>
      <c r="T95" s="220"/>
      <c r="U95" s="220"/>
      <c r="V95" s="220"/>
      <c r="W95" s="220"/>
      <c r="X95" s="220"/>
      <c r="Y95" s="220"/>
      <c r="Z95" s="220"/>
      <c r="AA95" s="220"/>
      <c r="AB95" s="220"/>
      <c r="AC95" s="220"/>
      <c r="AD95" s="220"/>
      <c r="AE95" s="220"/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  <c r="BI95" s="220"/>
      <c r="BJ95" s="220"/>
      <c r="BK95" s="220"/>
      <c r="BL95" s="220"/>
    </row>
    <row r="96" spans="2:82" ht="12.75">
      <c r="B96" s="78" t="s">
        <v>72</v>
      </c>
      <c r="C96" s="92"/>
      <c r="D96" s="221"/>
      <c r="E96" s="300">
        <f t="shared" si="0"/>
        <v>0</v>
      </c>
      <c r="F96" s="299"/>
      <c r="G96" s="69">
        <f t="shared" si="1"/>
        <v>0</v>
      </c>
      <c r="H96" s="221"/>
      <c r="I96" s="300">
        <f t="shared" si="2"/>
        <v>0</v>
      </c>
      <c r="J96" s="299"/>
      <c r="K96" s="70">
        <f t="shared" si="3"/>
        <v>0</v>
      </c>
      <c r="L96" s="431"/>
      <c r="M96" s="220"/>
      <c r="N96" s="220"/>
      <c r="O96" s="220"/>
      <c r="P96" s="220"/>
      <c r="Q96" s="220"/>
      <c r="R96" s="220"/>
      <c r="S96" s="220"/>
      <c r="T96" s="220"/>
      <c r="U96" s="220"/>
      <c r="V96" s="220"/>
      <c r="W96" s="220"/>
      <c r="X96" s="220"/>
      <c r="Y96" s="220"/>
      <c r="Z96" s="220"/>
      <c r="AA96" s="220"/>
      <c r="AB96" s="220"/>
      <c r="AC96" s="220"/>
      <c r="AD96" s="220"/>
      <c r="AE96" s="220"/>
      <c r="AF96" s="220"/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</row>
    <row r="97" spans="2:64" ht="12.75">
      <c r="B97" s="78" t="s">
        <v>73</v>
      </c>
      <c r="C97" s="92"/>
      <c r="D97" s="221"/>
      <c r="E97" s="300">
        <f t="shared" si="0"/>
        <v>0</v>
      </c>
      <c r="F97" s="299"/>
      <c r="G97" s="69">
        <f t="shared" si="1"/>
        <v>0</v>
      </c>
      <c r="H97" s="221"/>
      <c r="I97" s="300">
        <f t="shared" si="2"/>
        <v>0</v>
      </c>
      <c r="J97" s="299"/>
      <c r="K97" s="70">
        <f t="shared" si="3"/>
        <v>0</v>
      </c>
      <c r="L97" s="470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</row>
    <row r="98" spans="2:64" ht="12.75">
      <c r="B98" s="78" t="s">
        <v>74</v>
      </c>
      <c r="C98" s="92"/>
      <c r="D98" s="221"/>
      <c r="E98" s="300">
        <f t="shared" si="0"/>
        <v>0</v>
      </c>
      <c r="F98" s="299"/>
      <c r="G98" s="69">
        <f t="shared" si="1"/>
        <v>0</v>
      </c>
      <c r="H98" s="221"/>
      <c r="I98" s="300">
        <f t="shared" si="2"/>
        <v>0</v>
      </c>
      <c r="J98" s="299"/>
      <c r="K98" s="70">
        <f t="shared" si="3"/>
        <v>0</v>
      </c>
      <c r="L98" s="470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</row>
    <row r="99" spans="2:64" ht="12.75">
      <c r="B99" s="78" t="s">
        <v>75</v>
      </c>
      <c r="C99" s="92"/>
      <c r="D99" s="221"/>
      <c r="E99" s="300">
        <f t="shared" si="0"/>
        <v>0</v>
      </c>
      <c r="F99" s="299"/>
      <c r="G99" s="69">
        <f t="shared" si="1"/>
        <v>0</v>
      </c>
      <c r="H99" s="221"/>
      <c r="I99" s="300">
        <f t="shared" si="2"/>
        <v>0</v>
      </c>
      <c r="J99" s="299"/>
      <c r="K99" s="70">
        <f t="shared" si="3"/>
        <v>0</v>
      </c>
      <c r="L99" s="470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5"/>
      <c r="AP99" s="365"/>
      <c r="AQ99" s="365"/>
      <c r="AR99" s="365"/>
      <c r="AS99" s="365"/>
      <c r="AT99" s="365"/>
      <c r="AU99" s="365"/>
      <c r="AV99" s="365"/>
      <c r="AW99" s="365"/>
      <c r="AX99" s="365"/>
      <c r="AY99" s="365"/>
      <c r="AZ99" s="365"/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</row>
    <row r="100" spans="2:64" ht="12.75">
      <c r="B100" s="78" t="s">
        <v>76</v>
      </c>
      <c r="C100" s="92"/>
      <c r="D100" s="221"/>
      <c r="E100" s="300">
        <f t="shared" si="0"/>
        <v>0</v>
      </c>
      <c r="F100" s="299"/>
      <c r="G100" s="69">
        <f t="shared" si="1"/>
        <v>0</v>
      </c>
      <c r="H100" s="221"/>
      <c r="I100" s="300">
        <f t="shared" si="2"/>
        <v>0</v>
      </c>
      <c r="J100" s="299"/>
      <c r="K100" s="70">
        <f t="shared" si="3"/>
        <v>0</v>
      </c>
      <c r="L100" s="470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5"/>
      <c r="AB100" s="365"/>
      <c r="AC100" s="365"/>
      <c r="AD100" s="365"/>
      <c r="AE100" s="365"/>
      <c r="AF100" s="365"/>
      <c r="AG100" s="365"/>
      <c r="AH100" s="365"/>
      <c r="AI100" s="365"/>
      <c r="AJ100" s="365"/>
      <c r="AK100" s="365"/>
      <c r="AL100" s="365"/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5"/>
      <c r="BI100" s="365"/>
      <c r="BJ100" s="365"/>
      <c r="BK100" s="365"/>
      <c r="BL100" s="365"/>
    </row>
    <row r="101" spans="2:64" ht="12.75">
      <c r="B101" s="78" t="s">
        <v>77</v>
      </c>
      <c r="C101" s="92"/>
      <c r="D101" s="221"/>
      <c r="E101" s="300">
        <f t="shared" si="0"/>
        <v>0</v>
      </c>
      <c r="F101" s="299"/>
      <c r="G101" s="69">
        <f t="shared" si="1"/>
        <v>0</v>
      </c>
      <c r="H101" s="221"/>
      <c r="I101" s="300">
        <f t="shared" si="2"/>
        <v>0</v>
      </c>
      <c r="J101" s="299"/>
      <c r="K101" s="70">
        <f t="shared" si="3"/>
        <v>0</v>
      </c>
      <c r="L101" s="470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5"/>
      <c r="BI101" s="365"/>
      <c r="BJ101" s="365"/>
      <c r="BK101" s="365"/>
      <c r="BL101" s="365"/>
    </row>
    <row r="102" spans="2:64" ht="12.75">
      <c r="B102" s="78" t="s">
        <v>78</v>
      </c>
      <c r="C102" s="92"/>
      <c r="D102" s="221"/>
      <c r="E102" s="300">
        <f t="shared" si="0"/>
        <v>0</v>
      </c>
      <c r="F102" s="299"/>
      <c r="G102" s="69">
        <f t="shared" si="1"/>
        <v>0</v>
      </c>
      <c r="H102" s="221"/>
      <c r="I102" s="300">
        <f t="shared" si="2"/>
        <v>0</v>
      </c>
      <c r="J102" s="299"/>
      <c r="K102" s="70">
        <f t="shared" si="3"/>
        <v>0</v>
      </c>
      <c r="L102" s="470"/>
      <c r="M102" s="365"/>
      <c r="N102" s="365"/>
      <c r="O102" s="365"/>
      <c r="P102" s="365"/>
      <c r="Q102" s="365"/>
      <c r="R102" s="365"/>
      <c r="S102" s="365"/>
      <c r="T102" s="365"/>
      <c r="U102" s="365"/>
      <c r="V102" s="365"/>
      <c r="W102" s="365"/>
      <c r="X102" s="365"/>
      <c r="Y102" s="365"/>
      <c r="Z102" s="365"/>
      <c r="AA102" s="365"/>
      <c r="AB102" s="365"/>
      <c r="AC102" s="365"/>
      <c r="AD102" s="365"/>
      <c r="AE102" s="365"/>
      <c r="AF102" s="365"/>
      <c r="AG102" s="365"/>
      <c r="AH102" s="365"/>
      <c r="AI102" s="365"/>
      <c r="AJ102" s="365"/>
      <c r="AK102" s="365"/>
      <c r="AL102" s="365"/>
      <c r="AM102" s="365"/>
      <c r="AN102" s="365"/>
      <c r="AO102" s="365"/>
      <c r="AP102" s="365"/>
      <c r="AQ102" s="365"/>
      <c r="AR102" s="365"/>
      <c r="AS102" s="365"/>
      <c r="AT102" s="365"/>
      <c r="AU102" s="365"/>
      <c r="AV102" s="365"/>
      <c r="AW102" s="365"/>
      <c r="AX102" s="365"/>
      <c r="AY102" s="365"/>
      <c r="AZ102" s="365"/>
      <c r="BA102" s="365"/>
      <c r="BB102" s="365"/>
      <c r="BC102" s="365"/>
      <c r="BD102" s="365"/>
      <c r="BE102" s="365"/>
      <c r="BF102" s="365"/>
      <c r="BG102" s="365"/>
      <c r="BH102" s="365"/>
      <c r="BI102" s="365"/>
      <c r="BJ102" s="365"/>
      <c r="BK102" s="365"/>
      <c r="BL102" s="365"/>
    </row>
    <row r="103" spans="2:64" ht="12.75">
      <c r="B103" s="78" t="s">
        <v>79</v>
      </c>
      <c r="C103" s="92"/>
      <c r="D103" s="221"/>
      <c r="E103" s="300">
        <f t="shared" si="0"/>
        <v>0</v>
      </c>
      <c r="F103" s="299"/>
      <c r="G103" s="69">
        <f t="shared" si="1"/>
        <v>0</v>
      </c>
      <c r="H103" s="221"/>
      <c r="I103" s="300">
        <f t="shared" si="2"/>
        <v>0</v>
      </c>
      <c r="J103" s="299"/>
      <c r="K103" s="70">
        <f t="shared" si="3"/>
        <v>0</v>
      </c>
      <c r="L103" s="470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  <c r="AN103" s="365"/>
      <c r="AO103" s="365"/>
      <c r="AP103" s="365"/>
      <c r="AQ103" s="365"/>
      <c r="AR103" s="365"/>
      <c r="AS103" s="365"/>
      <c r="AT103" s="365"/>
      <c r="AU103" s="365"/>
      <c r="AV103" s="365"/>
      <c r="AW103" s="365"/>
      <c r="AX103" s="365"/>
      <c r="AY103" s="365"/>
      <c r="AZ103" s="365"/>
      <c r="BA103" s="365"/>
      <c r="BB103" s="365"/>
      <c r="BC103" s="365"/>
      <c r="BD103" s="365"/>
      <c r="BE103" s="365"/>
      <c r="BF103" s="365"/>
      <c r="BG103" s="365"/>
      <c r="BH103" s="365"/>
      <c r="BI103" s="365"/>
      <c r="BJ103" s="365"/>
      <c r="BK103" s="365"/>
      <c r="BL103" s="365"/>
    </row>
    <row r="104" spans="2:82" s="365" customFormat="1" ht="13.5" customHeight="1" thickBot="1">
      <c r="B104" s="80" t="s">
        <v>80</v>
      </c>
      <c r="C104" s="700"/>
      <c r="D104" s="222"/>
      <c r="E104" s="302">
        <f t="shared" si="0"/>
        <v>0</v>
      </c>
      <c r="F104" s="301"/>
      <c r="G104" s="96">
        <f t="shared" si="1"/>
        <v>0</v>
      </c>
      <c r="H104" s="222"/>
      <c r="I104" s="302">
        <f t="shared" si="2"/>
        <v>0</v>
      </c>
      <c r="J104" s="301"/>
      <c r="K104" s="224">
        <f t="shared" si="3"/>
        <v>0</v>
      </c>
      <c r="L104" s="470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</row>
    <row r="105" spans="2:4" s="365" customFormat="1" ht="21" customHeight="1" thickBot="1" thickTop="1">
      <c r="B105" s="370"/>
      <c r="D105" s="371"/>
    </row>
    <row r="106" spans="2:6" s="365" customFormat="1" ht="25.5" customHeight="1" thickBot="1" thickTop="1">
      <c r="B106" s="865" t="s">
        <v>311</v>
      </c>
      <c r="C106" s="455"/>
      <c r="D106" s="696"/>
      <c r="E106" s="703"/>
      <c r="F106" s="704"/>
    </row>
    <row r="107" spans="2:6" s="365" customFormat="1" ht="12" customHeight="1" thickBot="1">
      <c r="B107" s="27"/>
      <c r="C107" s="293"/>
      <c r="D107" s="85" t="s">
        <v>10</v>
      </c>
      <c r="E107" s="697"/>
      <c r="F107" s="492"/>
    </row>
    <row r="108" spans="2:6" s="365" customFormat="1" ht="12" customHeight="1">
      <c r="B108" s="41" t="s">
        <v>345</v>
      </c>
      <c r="C108" s="241" t="s">
        <v>312</v>
      </c>
      <c r="D108" s="218" t="s">
        <v>313</v>
      </c>
      <c r="E108" s="698" t="s">
        <v>314</v>
      </c>
      <c r="F108" s="699" t="s">
        <v>315</v>
      </c>
    </row>
    <row r="109" spans="2:6" s="365" customFormat="1" ht="13.5" customHeight="1" thickBot="1">
      <c r="B109" s="958">
        <f>'Primary Sources'!D53</f>
        <v>0</v>
      </c>
      <c r="C109" s="700"/>
      <c r="D109" s="700"/>
      <c r="E109" s="701"/>
      <c r="F109" s="702"/>
    </row>
    <row r="110" spans="2:6" s="365" customFormat="1" ht="14.25" thickBot="1" thickTop="1">
      <c r="B110" s="377"/>
      <c r="C110" s="498"/>
      <c r="D110" s="498"/>
      <c r="E110" s="378"/>
      <c r="F110" s="378"/>
    </row>
    <row r="111" spans="2:6" s="365" customFormat="1" ht="21.75" thickBot="1" thickTop="1">
      <c r="B111" s="865" t="s">
        <v>99</v>
      </c>
      <c r="C111" s="457"/>
      <c r="D111" s="458"/>
      <c r="E111" s="449"/>
      <c r="F111" s="451"/>
    </row>
    <row r="112" spans="2:82" ht="12.75">
      <c r="B112" s="348"/>
      <c r="C112" s="241" t="s">
        <v>81</v>
      </c>
      <c r="D112" s="241" t="s">
        <v>82</v>
      </c>
      <c r="E112" s="241" t="s">
        <v>83</v>
      </c>
      <c r="F112" s="445" t="s">
        <v>101</v>
      </c>
      <c r="G112" s="365"/>
      <c r="H112" s="365"/>
      <c r="I112" s="365"/>
      <c r="J112" s="365"/>
      <c r="K112" s="365"/>
      <c r="L112" s="365"/>
      <c r="M112" s="365"/>
      <c r="N112" s="365"/>
      <c r="O112" s="365"/>
      <c r="P112" s="365"/>
      <c r="Q112" s="365"/>
      <c r="R112" s="365"/>
      <c r="S112" s="365"/>
      <c r="T112" s="365"/>
      <c r="U112" s="365"/>
      <c r="V112" s="365"/>
      <c r="W112" s="365"/>
      <c r="X112" s="365"/>
      <c r="Y112" s="365"/>
      <c r="Z112" s="365"/>
      <c r="AA112" s="365"/>
      <c r="AB112" s="365"/>
      <c r="AC112" s="365"/>
      <c r="AD112" s="365"/>
      <c r="AE112" s="365"/>
      <c r="AF112" s="365"/>
      <c r="AG112" s="365"/>
      <c r="AH112" s="365"/>
      <c r="AI112" s="365"/>
      <c r="AJ112" s="365"/>
      <c r="AK112" s="365"/>
      <c r="AL112" s="365"/>
      <c r="AM112" s="365"/>
      <c r="AN112" s="365"/>
      <c r="AO112" s="365"/>
      <c r="AP112" s="365"/>
      <c r="AQ112" s="365"/>
      <c r="AR112" s="365"/>
      <c r="AS112" s="365"/>
      <c r="AT112" s="365"/>
      <c r="AU112" s="365"/>
      <c r="AV112" s="365"/>
      <c r="AW112" s="365"/>
      <c r="AX112" s="365"/>
      <c r="AY112" s="365"/>
      <c r="AZ112" s="365"/>
      <c r="BA112" s="365"/>
      <c r="BB112" s="365"/>
      <c r="BC112" s="365"/>
      <c r="BD112" s="365"/>
      <c r="BE112" s="365"/>
      <c r="BF112" s="365"/>
      <c r="BG112" s="365"/>
      <c r="BH112" s="365"/>
      <c r="BI112" s="365"/>
      <c r="BJ112" s="365"/>
      <c r="BK112" s="365"/>
      <c r="BL112" s="365"/>
      <c r="BM112" s="365"/>
      <c r="BN112" s="365"/>
      <c r="BO112" s="365"/>
      <c r="BP112" s="365"/>
      <c r="BQ112" s="365"/>
      <c r="BR112" s="365"/>
      <c r="BS112" s="365"/>
      <c r="BT112" s="365"/>
      <c r="BU112" s="365"/>
      <c r="BV112" s="365"/>
      <c r="BW112" s="365"/>
      <c r="BX112" s="365"/>
      <c r="BY112" s="365"/>
      <c r="BZ112" s="365"/>
      <c r="CA112" s="365"/>
      <c r="CB112" s="365"/>
      <c r="CC112" s="365"/>
      <c r="CD112" s="365"/>
    </row>
    <row r="113" spans="2:64" ht="12.75">
      <c r="B113" s="869" t="s">
        <v>36</v>
      </c>
      <c r="C113" s="311">
        <f>$C$18*$E$3*$E$4*3.04/1000*($E$17*$G$19+(1-$E$17)*$E$19)</f>
        <v>0</v>
      </c>
      <c r="D113" s="311">
        <f>$C$18*$E$3*$E$4*3.04/1000*($E$17*$G$20+(1-$E$17)*$E$20)</f>
        <v>0</v>
      </c>
      <c r="E113" s="311">
        <f>$C$18*$E$3*$E$4*3.04/1000*($G$21*$E$17+(1-$E$17)*$E$21)</f>
        <v>0</v>
      </c>
      <c r="F113" s="308">
        <f>$C$18*$E$3*$E$4*($G$22*$E$17+(1-$E$17)*$E$22)*1.38*10^-5</f>
        <v>0</v>
      </c>
      <c r="G113" s="365"/>
      <c r="H113" s="365"/>
      <c r="I113" s="365"/>
      <c r="J113" s="365"/>
      <c r="K113" s="365"/>
      <c r="L113" s="365"/>
      <c r="M113" s="365"/>
      <c r="N113" s="365"/>
      <c r="O113" s="365"/>
      <c r="P113" s="365"/>
      <c r="Q113" s="365"/>
      <c r="R113" s="365"/>
      <c r="S113" s="365"/>
      <c r="T113" s="365"/>
      <c r="U113" s="365"/>
      <c r="V113" s="365"/>
      <c r="W113" s="365"/>
      <c r="X113" s="365"/>
      <c r="Y113" s="365"/>
      <c r="Z113" s="365"/>
      <c r="AA113" s="365"/>
      <c r="AB113" s="365"/>
      <c r="AC113" s="365"/>
      <c r="AD113" s="365"/>
      <c r="AE113" s="365"/>
      <c r="AF113" s="365"/>
      <c r="AG113" s="365"/>
      <c r="AH113" s="365"/>
      <c r="AI113" s="365"/>
      <c r="AJ113" s="365"/>
      <c r="AK113" s="365"/>
      <c r="AL113" s="365"/>
      <c r="AM113" s="365"/>
      <c r="AN113" s="365"/>
      <c r="AO113" s="365"/>
      <c r="AP113" s="365"/>
      <c r="AQ113" s="365"/>
      <c r="AR113" s="365"/>
      <c r="AS113" s="365"/>
      <c r="AT113" s="365"/>
      <c r="AU113" s="365"/>
      <c r="AV113" s="365"/>
      <c r="AW113" s="365"/>
      <c r="AX113" s="365"/>
      <c r="AY113" s="365"/>
      <c r="AZ113" s="365"/>
      <c r="BA113" s="365"/>
      <c r="BB113" s="365"/>
      <c r="BC113" s="365"/>
      <c r="BD113" s="365"/>
      <c r="BE113" s="365"/>
      <c r="BF113" s="365"/>
      <c r="BG113" s="365"/>
      <c r="BH113" s="365"/>
      <c r="BI113" s="365"/>
      <c r="BJ113" s="365"/>
      <c r="BK113" s="365"/>
      <c r="BL113" s="365"/>
    </row>
    <row r="114" spans="2:64" ht="12.75">
      <c r="B114" s="869" t="s">
        <v>39</v>
      </c>
      <c r="C114" s="311">
        <f>E114*C14*D14</f>
        <v>0</v>
      </c>
      <c r="D114" s="311">
        <f>E114*C13*D13</f>
        <v>0</v>
      </c>
      <c r="E114" s="311">
        <f>'Primary Sources'!C62*'Secondary Sources'!E25*'Secondary Sources'!C25*'Secondary Sources'!E26*0.226*0.9</f>
        <v>0</v>
      </c>
      <c r="F114" s="308">
        <v>0</v>
      </c>
      <c r="G114" s="365"/>
      <c r="H114" s="365"/>
      <c r="I114" s="365"/>
      <c r="J114" s="365"/>
      <c r="K114" s="365"/>
      <c r="L114" s="365"/>
      <c r="M114" s="365"/>
      <c r="N114" s="365"/>
      <c r="O114" s="365"/>
      <c r="P114" s="365"/>
      <c r="Q114" s="365"/>
      <c r="R114" s="365"/>
      <c r="S114" s="365"/>
      <c r="T114" s="365"/>
      <c r="U114" s="365"/>
      <c r="V114" s="365"/>
      <c r="W114" s="365"/>
      <c r="X114" s="365"/>
      <c r="Y114" s="365"/>
      <c r="Z114" s="365"/>
      <c r="AA114" s="365"/>
      <c r="AB114" s="365"/>
      <c r="AC114" s="365"/>
      <c r="AD114" s="365"/>
      <c r="AE114" s="365"/>
      <c r="AF114" s="365"/>
      <c r="AG114" s="365"/>
      <c r="AH114" s="365"/>
      <c r="AI114" s="365"/>
      <c r="AJ114" s="365"/>
      <c r="AK114" s="365"/>
      <c r="AL114" s="365"/>
      <c r="AM114" s="365"/>
      <c r="AN114" s="365"/>
      <c r="AO114" s="365"/>
      <c r="AP114" s="365"/>
      <c r="AQ114" s="365"/>
      <c r="AR114" s="365"/>
      <c r="AS114" s="365"/>
      <c r="AT114" s="365"/>
      <c r="AU114" s="365"/>
      <c r="AV114" s="365"/>
      <c r="AW114" s="365"/>
      <c r="AX114" s="365"/>
      <c r="AY114" s="365"/>
      <c r="AZ114" s="365"/>
      <c r="BA114" s="365"/>
      <c r="BB114" s="365"/>
      <c r="BC114" s="365"/>
      <c r="BD114" s="365"/>
      <c r="BE114" s="365"/>
      <c r="BF114" s="365"/>
      <c r="BG114" s="365"/>
      <c r="BH114" s="365"/>
      <c r="BI114" s="365"/>
      <c r="BJ114" s="365"/>
      <c r="BK114" s="365"/>
      <c r="BL114" s="365"/>
    </row>
    <row r="115" spans="2:64" ht="12.75">
      <c r="B115" s="869" t="s">
        <v>41</v>
      </c>
      <c r="C115" s="307">
        <f>$C$29*$E$29*$E$30*$E$6*3.78/454000/1000</f>
        <v>0</v>
      </c>
      <c r="D115" s="307">
        <f>$C$29*$E$29*$E$30*$E$7*3.78/454000/1000</f>
        <v>0</v>
      </c>
      <c r="E115" s="307">
        <f>$C$29*$E$29*$E$30*$E$8*3.78/454000/1000</f>
        <v>0</v>
      </c>
      <c r="F115" s="309">
        <f>$C$29*$E$29*$E$30*$E$9*37.8/1000000000000</f>
        <v>0</v>
      </c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J115" s="365"/>
      <c r="AK115" s="365"/>
      <c r="AL115" s="365"/>
      <c r="AM115" s="365"/>
      <c r="AN115" s="365"/>
      <c r="AO115" s="365"/>
      <c r="AP115" s="365"/>
      <c r="AQ115" s="365"/>
      <c r="AR115" s="365"/>
      <c r="AS115" s="365"/>
      <c r="AT115" s="365"/>
      <c r="AU115" s="365"/>
      <c r="AV115" s="365"/>
      <c r="AW115" s="365"/>
      <c r="AX115" s="365"/>
      <c r="AY115" s="365"/>
      <c r="AZ115" s="365"/>
      <c r="BA115" s="365"/>
      <c r="BB115" s="365"/>
      <c r="BC115" s="365"/>
      <c r="BD115" s="365"/>
      <c r="BE115" s="365"/>
      <c r="BF115" s="365"/>
      <c r="BG115" s="365"/>
      <c r="BH115" s="365"/>
      <c r="BI115" s="365"/>
      <c r="BJ115" s="365"/>
      <c r="BK115" s="365"/>
      <c r="BL115" s="365"/>
    </row>
    <row r="116" spans="2:64" ht="12.75">
      <c r="B116" s="869" t="s">
        <v>44</v>
      </c>
      <c r="C116" s="307">
        <f>0.226*(0.05+0.009*$C35)*('Secondary Sources'!$C33-'Secondary Sources'!$E34)*'Secondary Sources'!$E33*'Secondary Sources'!$E36*'Secondary Sources'!$C34</f>
        <v>0</v>
      </c>
      <c r="D116" s="307">
        <f>0.226*(0.05+0.009*$C35)*('Secondary Sources'!$C33-'Secondary Sources'!$E34)*'Secondary Sources'!$E33*'Secondary Sources'!$E37*'Secondary Sources'!$C34</f>
        <v>0</v>
      </c>
      <c r="E116" s="307">
        <f>0.226*(0.05+0.009*$C35)*('Secondary Sources'!$C33-'Secondary Sources'!$E34)*'Secondary Sources'!$E33*'Secondary Sources'!$E38*'Secondary Sources'!$C34</f>
        <v>0</v>
      </c>
      <c r="F116" s="309">
        <f>1.03*(0.05+0.009*$C35)*('Secondary Sources'!$C33-'Secondary Sources'!$E34)*'Secondary Sources'!$E33*'Secondary Sources'!$E39*'Secondary Sources'!$C34/1000</f>
        <v>0</v>
      </c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J116" s="365"/>
      <c r="AK116" s="365"/>
      <c r="AL116" s="365"/>
      <c r="AM116" s="365"/>
      <c r="AN116" s="365"/>
      <c r="AO116" s="365"/>
      <c r="AP116" s="365"/>
      <c r="AQ116" s="365"/>
      <c r="AR116" s="365"/>
      <c r="AS116" s="365"/>
      <c r="AT116" s="365"/>
      <c r="AU116" s="365"/>
      <c r="AV116" s="365"/>
      <c r="AW116" s="365"/>
      <c r="AX116" s="365"/>
      <c r="AY116" s="365"/>
      <c r="AZ116" s="365"/>
      <c r="BA116" s="365"/>
      <c r="BB116" s="365"/>
      <c r="BC116" s="365"/>
      <c r="BD116" s="365"/>
      <c r="BE116" s="365"/>
      <c r="BF116" s="365"/>
      <c r="BG116" s="365"/>
      <c r="BH116" s="365"/>
      <c r="BI116" s="365"/>
      <c r="BJ116" s="365"/>
      <c r="BK116" s="365"/>
      <c r="BL116" s="365"/>
    </row>
    <row r="117" spans="2:64" ht="12.75">
      <c r="B117" s="869" t="s">
        <v>48</v>
      </c>
      <c r="C117" s="307">
        <f>($E$3*$E$4*$E$6*$C$43+$C$45*$C$46*($C$47*$C$48*C$52+(1-$C$47)*$C$49*C$53))*3.78*365/454000</f>
        <v>0</v>
      </c>
      <c r="D117" s="307">
        <f>($E$3*$E$4*$E$7*$C$43+$C$45*$C$46*($C$47*$C$48*D$52+(1-$C$47)*$C$49*D$53))*3.78*365/454000</f>
        <v>0</v>
      </c>
      <c r="E117" s="307">
        <f>($E$3*$E$4*$E$8*$C$43+$C$45*$C$46*($C$47*$C$48*E$52+(1-$C$47)*$C$49*E$53))*3.78*365/454000</f>
        <v>0</v>
      </c>
      <c r="F117" s="309">
        <f>($E$3*$E$4*$E$9*$C$43+$C$45*$C$46*($C$47*$C$48*F$52+(1-$C$47)*$C$49*F$53))*37.8*365/10^9</f>
        <v>0</v>
      </c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J117" s="365"/>
      <c r="AK117" s="365"/>
      <c r="AL117" s="365"/>
      <c r="AM117" s="365"/>
      <c r="AN117" s="365"/>
      <c r="AO117" s="365"/>
      <c r="AP117" s="365"/>
      <c r="AQ117" s="365"/>
      <c r="AR117" s="365"/>
      <c r="AS117" s="365"/>
      <c r="AT117" s="365"/>
      <c r="AU117" s="365"/>
      <c r="AV117" s="365"/>
      <c r="AW117" s="365"/>
      <c r="AX117" s="365"/>
      <c r="AY117" s="365"/>
      <c r="AZ117" s="365"/>
      <c r="BA117" s="365"/>
      <c r="BB117" s="365"/>
      <c r="BC117" s="365"/>
      <c r="BD117" s="365"/>
      <c r="BE117" s="365"/>
      <c r="BF117" s="365"/>
      <c r="BG117" s="365"/>
      <c r="BH117" s="365"/>
      <c r="BI117" s="365"/>
      <c r="BJ117" s="365"/>
      <c r="BK117" s="365"/>
      <c r="BL117" s="365"/>
    </row>
    <row r="118" spans="2:64" ht="12.75">
      <c r="B118" s="869" t="s">
        <v>51</v>
      </c>
      <c r="C118" s="307" t="e">
        <f>E118*C14*D14</f>
        <v>#DIV/0!</v>
      </c>
      <c r="D118" s="307" t="e">
        <f>E118*C13*D13</f>
        <v>#DIV/0!</v>
      </c>
      <c r="E118" s="312" t="e">
        <f>IF(C56=1,C60*'Primary Sources'!C64*2000,E58*'Primary Sources'!C64*5280*(('Primary Sources'!E54^2*0.0012+'Primary Sources'!E54*0.0239))*E61*E60)</f>
        <v>#DIV/0!</v>
      </c>
      <c r="F118" s="309">
        <v>0</v>
      </c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65"/>
      <c r="AK118" s="365"/>
      <c r="AL118" s="365"/>
      <c r="AM118" s="365"/>
      <c r="AN118" s="365"/>
      <c r="AO118" s="365"/>
      <c r="AP118" s="365"/>
      <c r="AQ118" s="365"/>
      <c r="AR118" s="365"/>
      <c r="AS118" s="365"/>
      <c r="AT118" s="365"/>
      <c r="AU118" s="365"/>
      <c r="AV118" s="365"/>
      <c r="AW118" s="365"/>
      <c r="AX118" s="365"/>
      <c r="AY118" s="365"/>
      <c r="AZ118" s="365"/>
      <c r="BA118" s="365"/>
      <c r="BB118" s="365"/>
      <c r="BC118" s="365"/>
      <c r="BD118" s="365"/>
      <c r="BE118" s="365"/>
      <c r="BF118" s="365"/>
      <c r="BG118" s="365"/>
      <c r="BH118" s="365"/>
      <c r="BI118" s="365"/>
      <c r="BJ118" s="365"/>
      <c r="BK118" s="365"/>
      <c r="BL118" s="365"/>
    </row>
    <row r="119" spans="2:64" ht="12.75">
      <c r="B119" s="869" t="s">
        <v>53</v>
      </c>
      <c r="C119" s="311">
        <f>MAX('Primary Sources'!C62*SUMPRODUCT($C66:C69,$D66:D69)*0.226*C72*$C71*$C73,SUM('Primary Sources'!R11:R20))</f>
        <v>0</v>
      </c>
      <c r="D119" s="313">
        <f>MAX('Primary Sources'!C62*SUMPRODUCT($C66:C69,$D66:D69)*0.226*E72*$C71*$C73,SUM('Primary Sources'!S11:S20))</f>
        <v>0</v>
      </c>
      <c r="E119" s="311">
        <f>SUM('Primary Sources'!T11:T20)</f>
        <v>0</v>
      </c>
      <c r="F119" s="308">
        <f>SUM('Primary Sources'!U11:U20)</f>
        <v>0</v>
      </c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  <c r="AJ119" s="365"/>
      <c r="AK119" s="365"/>
      <c r="AL119" s="365"/>
      <c r="AM119" s="365"/>
      <c r="AN119" s="365"/>
      <c r="AO119" s="365"/>
      <c r="AP119" s="365"/>
      <c r="AQ119" s="365"/>
      <c r="AR119" s="365"/>
      <c r="AS119" s="365"/>
      <c r="AT119" s="365"/>
      <c r="AU119" s="365"/>
      <c r="AV119" s="365"/>
      <c r="AW119" s="365"/>
      <c r="AX119" s="365"/>
      <c r="AY119" s="365"/>
      <c r="AZ119" s="365"/>
      <c r="BA119" s="365"/>
      <c r="BB119" s="365"/>
      <c r="BC119" s="365"/>
      <c r="BD119" s="365"/>
      <c r="BE119" s="365"/>
      <c r="BF119" s="365"/>
      <c r="BG119" s="365"/>
      <c r="BH119" s="365"/>
      <c r="BI119" s="365"/>
      <c r="BJ119" s="365"/>
      <c r="BK119" s="365"/>
      <c r="BL119" s="365"/>
    </row>
    <row r="120" spans="2:64" ht="12.75">
      <c r="B120" s="869" t="s">
        <v>55</v>
      </c>
      <c r="C120" s="311">
        <f>F82</f>
        <v>0</v>
      </c>
      <c r="D120" s="311">
        <f>H82</f>
        <v>0</v>
      </c>
      <c r="E120" s="311">
        <v>0</v>
      </c>
      <c r="F120" s="308">
        <f>J82</f>
        <v>0</v>
      </c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65"/>
      <c r="AK120" s="365"/>
      <c r="AL120" s="365"/>
      <c r="AM120" s="365"/>
      <c r="AN120" s="365"/>
      <c r="AO120" s="365"/>
      <c r="AP120" s="365"/>
      <c r="AQ120" s="365"/>
      <c r="AR120" s="365"/>
      <c r="AS120" s="365"/>
      <c r="AT120" s="365"/>
      <c r="AU120" s="365"/>
      <c r="AV120" s="365"/>
      <c r="AW120" s="365"/>
      <c r="AX120" s="365"/>
      <c r="AY120" s="365"/>
      <c r="AZ120" s="365"/>
      <c r="BA120" s="365"/>
      <c r="BB120" s="365"/>
      <c r="BC120" s="365"/>
      <c r="BD120" s="365"/>
      <c r="BE120" s="365"/>
      <c r="BF120" s="365"/>
      <c r="BG120" s="365"/>
      <c r="BH120" s="365"/>
      <c r="BI120" s="365"/>
      <c r="BJ120" s="365"/>
      <c r="BK120" s="365"/>
      <c r="BL120" s="365"/>
    </row>
    <row r="121" spans="2:64" ht="12.75">
      <c r="B121" s="869" t="s">
        <v>60</v>
      </c>
      <c r="C121" s="311">
        <f>$E$87*$E$86*$E$85*$C$86*$C$85*$E$6*3.78/454000</f>
        <v>0</v>
      </c>
      <c r="D121" s="313">
        <f>$E$87*$E$86*$E$85*$C$86*$C$85*$E$7*3.78/454000</f>
        <v>0</v>
      </c>
      <c r="E121" s="311">
        <f>$E$87*$E$86*$E$85*$C$86*$C$85*$E$8*3.78/454000</f>
        <v>0</v>
      </c>
      <c r="F121" s="308">
        <f>C85*C86*E85*E86*E87*$E$9*37.8/1000000000</f>
        <v>0</v>
      </c>
      <c r="G121" s="365"/>
      <c r="H121" s="365"/>
      <c r="I121" s="365"/>
      <c r="J121" s="365"/>
      <c r="K121" s="365"/>
      <c r="L121" s="365"/>
      <c r="M121" s="365"/>
      <c r="N121" s="365"/>
      <c r="O121" s="365"/>
      <c r="P121" s="365"/>
      <c r="Q121" s="365"/>
      <c r="R121" s="365"/>
      <c r="S121" s="365"/>
      <c r="T121" s="365"/>
      <c r="U121" s="365"/>
      <c r="V121" s="365"/>
      <c r="W121" s="365"/>
      <c r="X121" s="365"/>
      <c r="Y121" s="365"/>
      <c r="Z121" s="365"/>
      <c r="AA121" s="365"/>
      <c r="AB121" s="365"/>
      <c r="AC121" s="365"/>
      <c r="AD121" s="365"/>
      <c r="AE121" s="365"/>
      <c r="AF121" s="365"/>
      <c r="AG121" s="365"/>
      <c r="AH121" s="365"/>
      <c r="AI121" s="365"/>
      <c r="AJ121" s="365"/>
      <c r="AK121" s="365"/>
      <c r="AL121" s="365"/>
      <c r="AM121" s="365"/>
      <c r="AN121" s="365"/>
      <c r="AO121" s="365"/>
      <c r="AP121" s="365"/>
      <c r="AQ121" s="365"/>
      <c r="AR121" s="365"/>
      <c r="AS121" s="365"/>
      <c r="AT121" s="365"/>
      <c r="AU121" s="365"/>
      <c r="AV121" s="365"/>
      <c r="AW121" s="365"/>
      <c r="AX121" s="365"/>
      <c r="AY121" s="365"/>
      <c r="AZ121" s="365"/>
      <c r="BA121" s="365"/>
      <c r="BB121" s="365"/>
      <c r="BC121" s="365"/>
      <c r="BD121" s="365"/>
      <c r="BE121" s="365"/>
      <c r="BF121" s="365"/>
      <c r="BG121" s="365"/>
      <c r="BH121" s="365"/>
      <c r="BI121" s="365"/>
      <c r="BJ121" s="365"/>
      <c r="BK121" s="365"/>
      <c r="BL121" s="365"/>
    </row>
    <row r="122" spans="2:64" ht="12.75">
      <c r="B122" s="869" t="s">
        <v>65</v>
      </c>
      <c r="C122" s="311">
        <v>0</v>
      </c>
      <c r="D122" s="313">
        <v>0</v>
      </c>
      <c r="E122" s="311">
        <f>C90*((1-C91)*E90+E91*C91)</f>
        <v>0</v>
      </c>
      <c r="F122" s="308">
        <v>0</v>
      </c>
      <c r="G122" s="365"/>
      <c r="H122" s="365"/>
      <c r="I122" s="365"/>
      <c r="J122" s="365"/>
      <c r="K122" s="365"/>
      <c r="L122" s="365"/>
      <c r="M122" s="365"/>
      <c r="N122" s="365"/>
      <c r="O122" s="365"/>
      <c r="P122" s="365"/>
      <c r="Q122" s="365"/>
      <c r="R122" s="365"/>
      <c r="S122" s="365"/>
      <c r="T122" s="365"/>
      <c r="U122" s="365"/>
      <c r="V122" s="365"/>
      <c r="W122" s="365"/>
      <c r="X122" s="365"/>
      <c r="Y122" s="365"/>
      <c r="Z122" s="365"/>
      <c r="AA122" s="365"/>
      <c r="AB122" s="365"/>
      <c r="AC122" s="365"/>
      <c r="AD122" s="365"/>
      <c r="AE122" s="365"/>
      <c r="AF122" s="365"/>
      <c r="AG122" s="365"/>
      <c r="AH122" s="365"/>
      <c r="AI122" s="365"/>
      <c r="AJ122" s="365"/>
      <c r="AK122" s="365"/>
      <c r="AL122" s="365"/>
      <c r="AM122" s="365"/>
      <c r="AN122" s="365"/>
      <c r="AO122" s="365"/>
      <c r="AP122" s="365"/>
      <c r="AQ122" s="365"/>
      <c r="AR122" s="365"/>
      <c r="AS122" s="365"/>
      <c r="AT122" s="365"/>
      <c r="AU122" s="365"/>
      <c r="AV122" s="365"/>
      <c r="AW122" s="365"/>
      <c r="AX122" s="365"/>
      <c r="AY122" s="365"/>
      <c r="AZ122" s="365"/>
      <c r="BA122" s="365"/>
      <c r="BB122" s="365"/>
      <c r="BC122" s="365"/>
      <c r="BD122" s="365"/>
      <c r="BE122" s="365"/>
      <c r="BF122" s="365"/>
      <c r="BG122" s="365"/>
      <c r="BH122" s="365"/>
      <c r="BI122" s="365"/>
      <c r="BJ122" s="365"/>
      <c r="BK122" s="365"/>
      <c r="BL122" s="365"/>
    </row>
    <row r="123" spans="2:64" ht="12.75">
      <c r="B123" s="869" t="s">
        <v>233</v>
      </c>
      <c r="C123" s="313">
        <f>SUM(E95:E104)</f>
        <v>0</v>
      </c>
      <c r="D123" s="313">
        <f>SUM(G95:G104)</f>
        <v>0</v>
      </c>
      <c r="E123" s="311">
        <f>SUM(I95:I104)</f>
        <v>0</v>
      </c>
      <c r="F123" s="308">
        <f>SUM(K95:K104)</f>
        <v>0</v>
      </c>
      <c r="G123" s="365"/>
      <c r="H123" s="365"/>
      <c r="I123" s="365"/>
      <c r="J123" s="365"/>
      <c r="K123" s="365"/>
      <c r="L123" s="365"/>
      <c r="M123" s="365"/>
      <c r="N123" s="365"/>
      <c r="O123" s="365"/>
      <c r="P123" s="365"/>
      <c r="Q123" s="365"/>
      <c r="R123" s="365"/>
      <c r="S123" s="365"/>
      <c r="T123" s="365"/>
      <c r="U123" s="365"/>
      <c r="V123" s="365"/>
      <c r="W123" s="365"/>
      <c r="X123" s="365"/>
      <c r="Y123" s="365"/>
      <c r="Z123" s="365"/>
      <c r="AA123" s="365"/>
      <c r="AB123" s="365"/>
      <c r="AC123" s="365"/>
      <c r="AD123" s="365"/>
      <c r="AE123" s="365"/>
      <c r="AF123" s="365"/>
      <c r="AG123" s="365"/>
      <c r="AH123" s="365"/>
      <c r="AI123" s="365"/>
      <c r="AJ123" s="365"/>
      <c r="AK123" s="365"/>
      <c r="AL123" s="365"/>
      <c r="AM123" s="365"/>
      <c r="AN123" s="365"/>
      <c r="AO123" s="365"/>
      <c r="AP123" s="365"/>
      <c r="AQ123" s="365"/>
      <c r="AR123" s="365"/>
      <c r="AS123" s="365"/>
      <c r="AT123" s="365"/>
      <c r="AU123" s="365"/>
      <c r="AV123" s="365"/>
      <c r="AW123" s="365"/>
      <c r="AX123" s="365"/>
      <c r="AY123" s="365"/>
      <c r="AZ123" s="365"/>
      <c r="BA123" s="365"/>
      <c r="BB123" s="365"/>
      <c r="BC123" s="365"/>
      <c r="BD123" s="365"/>
      <c r="BE123" s="365"/>
      <c r="BF123" s="365"/>
      <c r="BG123" s="365"/>
      <c r="BH123" s="365"/>
      <c r="BI123" s="365"/>
      <c r="BJ123" s="365"/>
      <c r="BK123" s="365"/>
      <c r="BL123" s="365"/>
    </row>
    <row r="124" spans="2:64" ht="13.5" thickBot="1">
      <c r="B124" s="870" t="s">
        <v>311</v>
      </c>
      <c r="C124" s="314">
        <f>$B109*C109</f>
        <v>0</v>
      </c>
      <c r="D124" s="314">
        <f>$B109*D109</f>
        <v>0</v>
      </c>
      <c r="E124" s="315">
        <f>$B109*E109</f>
        <v>0</v>
      </c>
      <c r="F124" s="310">
        <f>$B109*F109</f>
        <v>0</v>
      </c>
      <c r="G124" s="365"/>
      <c r="H124" s="365"/>
      <c r="I124" s="365"/>
      <c r="J124" s="365"/>
      <c r="K124" s="365"/>
      <c r="L124" s="365"/>
      <c r="M124" s="365"/>
      <c r="N124" s="365"/>
      <c r="O124" s="365"/>
      <c r="P124" s="365"/>
      <c r="Q124" s="365"/>
      <c r="R124" s="365"/>
      <c r="S124" s="365"/>
      <c r="T124" s="365"/>
      <c r="U124" s="365"/>
      <c r="V124" s="365"/>
      <c r="W124" s="365"/>
      <c r="X124" s="365"/>
      <c r="Y124" s="365"/>
      <c r="Z124" s="365"/>
      <c r="AA124" s="365"/>
      <c r="AB124" s="365"/>
      <c r="AC124" s="365"/>
      <c r="AD124" s="365"/>
      <c r="AE124" s="365"/>
      <c r="AF124" s="365"/>
      <c r="AG124" s="365"/>
      <c r="AH124" s="365"/>
      <c r="AI124" s="365"/>
      <c r="AJ124" s="365"/>
      <c r="AK124" s="365"/>
      <c r="AL124" s="365"/>
      <c r="AM124" s="365"/>
      <c r="AN124" s="365"/>
      <c r="AO124" s="365"/>
      <c r="AP124" s="365"/>
      <c r="AQ124" s="365"/>
      <c r="AR124" s="365"/>
      <c r="AS124" s="365"/>
      <c r="AT124" s="365"/>
      <c r="AU124" s="365"/>
      <c r="AV124" s="365"/>
      <c r="AW124" s="365"/>
      <c r="AX124" s="365"/>
      <c r="AY124" s="365"/>
      <c r="AZ124" s="365"/>
      <c r="BA124" s="365"/>
      <c r="BB124" s="365"/>
      <c r="BC124" s="365"/>
      <c r="BD124" s="365"/>
      <c r="BE124" s="365"/>
      <c r="BF124" s="365"/>
      <c r="BG124" s="365"/>
      <c r="BH124" s="365"/>
      <c r="BI124" s="365"/>
      <c r="BJ124" s="365"/>
      <c r="BK124" s="365"/>
      <c r="BL124" s="365"/>
    </row>
    <row r="125" spans="2:82" s="365" customFormat="1" ht="13.5" thickBot="1">
      <c r="B125" s="871" t="s">
        <v>161</v>
      </c>
      <c r="C125" s="740" t="e">
        <f>SUM(C113:C124)</f>
        <v>#DIV/0!</v>
      </c>
      <c r="D125" s="316" t="e">
        <f>SUM(D113:D124)</f>
        <v>#DIV/0!</v>
      </c>
      <c r="E125" s="317" t="e">
        <f>SUM(E113:E124)</f>
        <v>#DIV/0!</v>
      </c>
      <c r="F125" s="318">
        <f>SUM(F113:F124)</f>
        <v>0</v>
      </c>
      <c r="G125" s="447"/>
      <c r="H125" s="447"/>
      <c r="I125" s="447"/>
      <c r="J125" s="447"/>
      <c r="K125" s="447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</row>
    <row r="126" spans="1:4" s="365" customFormat="1" ht="13.5" thickTop="1">
      <c r="A126" s="365" t="s">
        <v>348</v>
      </c>
      <c r="B126" s="370"/>
      <c r="D126" s="536"/>
    </row>
    <row r="127" spans="2:82" s="447" customFormat="1" ht="12.75">
      <c r="B127" s="370" t="s">
        <v>349</v>
      </c>
      <c r="C127" s="365"/>
      <c r="D127" s="370"/>
      <c r="E127" s="365"/>
      <c r="F127" s="365"/>
      <c r="G127" s="365"/>
      <c r="H127" s="365"/>
      <c r="I127" s="365"/>
      <c r="J127" s="365"/>
      <c r="K127" s="365"/>
      <c r="L127" s="365"/>
      <c r="M127" s="365"/>
      <c r="N127" s="365"/>
      <c r="O127" s="365"/>
      <c r="P127" s="365"/>
      <c r="Q127" s="365"/>
      <c r="R127" s="365"/>
      <c r="S127" s="365"/>
      <c r="T127" s="365"/>
      <c r="U127" s="365"/>
      <c r="V127" s="365"/>
      <c r="W127" s="365"/>
      <c r="X127" s="365"/>
      <c r="Y127" s="365"/>
      <c r="Z127" s="365"/>
      <c r="AA127" s="365"/>
      <c r="AB127" s="365"/>
      <c r="AC127" s="365"/>
      <c r="AD127" s="365"/>
      <c r="AE127" s="365"/>
      <c r="AF127" s="365"/>
      <c r="AG127" s="365"/>
      <c r="AH127" s="365"/>
      <c r="AI127" s="365"/>
      <c r="AJ127" s="365"/>
      <c r="AK127" s="365"/>
      <c r="AL127" s="365"/>
      <c r="AM127" s="365"/>
      <c r="AN127" s="365"/>
      <c r="AO127" s="365"/>
      <c r="AP127" s="365"/>
      <c r="AQ127" s="365"/>
      <c r="AR127" s="365"/>
      <c r="AS127" s="365"/>
      <c r="AT127" s="365"/>
      <c r="AU127" s="365"/>
      <c r="AV127" s="365"/>
      <c r="AW127" s="365"/>
      <c r="AX127" s="365"/>
      <c r="AY127" s="365"/>
      <c r="AZ127" s="365"/>
      <c r="BA127" s="365"/>
      <c r="BB127" s="365"/>
      <c r="BC127" s="365"/>
      <c r="BD127" s="365"/>
      <c r="BE127" s="365"/>
      <c r="BF127" s="365"/>
      <c r="BG127" s="365"/>
      <c r="BH127" s="365"/>
      <c r="BI127" s="365"/>
      <c r="BJ127" s="365"/>
      <c r="BK127" s="365"/>
      <c r="BL127" s="365"/>
      <c r="BM127" s="365"/>
      <c r="BN127" s="365"/>
      <c r="BO127" s="365"/>
      <c r="BP127" s="365"/>
      <c r="BQ127" s="365"/>
      <c r="BR127" s="365"/>
      <c r="BS127" s="365"/>
      <c r="BT127" s="365"/>
      <c r="BU127" s="365"/>
      <c r="BV127" s="365"/>
      <c r="BW127" s="365"/>
      <c r="BX127" s="365"/>
      <c r="BY127" s="365"/>
      <c r="BZ127" s="365"/>
      <c r="CA127" s="365"/>
      <c r="CB127" s="365"/>
      <c r="CC127" s="365"/>
      <c r="CD127" s="365"/>
    </row>
    <row r="128" spans="2:82" s="365" customFormat="1" ht="12.75">
      <c r="B128" s="370"/>
      <c r="D128" s="447"/>
      <c r="L128" s="447"/>
      <c r="M128" s="447"/>
      <c r="N128" s="447"/>
      <c r="O128" s="447"/>
      <c r="P128" s="447"/>
      <c r="Q128" s="447"/>
      <c r="R128" s="447"/>
      <c r="S128" s="447"/>
      <c r="T128" s="447"/>
      <c r="U128" s="447"/>
      <c r="V128" s="447"/>
      <c r="W128" s="447"/>
      <c r="X128" s="447"/>
      <c r="Y128" s="447"/>
      <c r="Z128" s="447"/>
      <c r="AA128" s="447"/>
      <c r="AB128" s="447"/>
      <c r="AC128" s="447"/>
      <c r="AD128" s="447"/>
      <c r="AE128" s="447"/>
      <c r="AF128" s="447"/>
      <c r="AG128" s="447"/>
      <c r="AH128" s="447"/>
      <c r="AI128" s="447"/>
      <c r="AJ128" s="447"/>
      <c r="AK128" s="447"/>
      <c r="AL128" s="447"/>
      <c r="AM128" s="447"/>
      <c r="AN128" s="447"/>
      <c r="AO128" s="447"/>
      <c r="AP128" s="447"/>
      <c r="AQ128" s="447"/>
      <c r="AR128" s="447"/>
      <c r="AS128" s="447"/>
      <c r="AT128" s="447"/>
      <c r="AU128" s="447"/>
      <c r="AV128" s="447"/>
      <c r="AW128" s="447"/>
      <c r="AX128" s="447"/>
      <c r="AY128" s="447"/>
      <c r="AZ128" s="447"/>
      <c r="BA128" s="447"/>
      <c r="BB128" s="447"/>
      <c r="BC128" s="447"/>
      <c r="BD128" s="447"/>
      <c r="BE128" s="447"/>
      <c r="BF128" s="447"/>
      <c r="BG128" s="447"/>
      <c r="BH128" s="447"/>
      <c r="BI128" s="447"/>
      <c r="BJ128" s="447"/>
      <c r="BK128" s="447"/>
      <c r="BL128" s="447"/>
      <c r="BM128" s="447"/>
      <c r="BN128" s="447"/>
      <c r="BO128" s="447"/>
      <c r="BP128" s="447"/>
      <c r="BQ128" s="447"/>
      <c r="BR128" s="447"/>
      <c r="BS128" s="447"/>
      <c r="BT128" s="447"/>
      <c r="BU128" s="447"/>
      <c r="BV128" s="447"/>
      <c r="BW128" s="447"/>
      <c r="BX128" s="447"/>
      <c r="BY128" s="447"/>
      <c r="BZ128" s="447"/>
      <c r="CA128" s="447"/>
      <c r="CB128" s="447"/>
      <c r="CC128" s="447"/>
      <c r="CD128" s="447"/>
    </row>
    <row r="129" spans="2:5" s="365" customFormat="1" ht="12.75">
      <c r="B129" s="370"/>
      <c r="D129" s="370"/>
      <c r="E129" s="459"/>
    </row>
    <row r="130" spans="2:4" s="365" customFormat="1" ht="12.75">
      <c r="B130" s="370"/>
      <c r="D130" s="370"/>
    </row>
    <row r="131" spans="2:4" s="365" customFormat="1" ht="12.75">
      <c r="B131" s="370"/>
      <c r="D131" s="370"/>
    </row>
    <row r="132" spans="2:4" s="365" customFormat="1" ht="12.75">
      <c r="B132" s="370"/>
      <c r="D132" s="370"/>
    </row>
    <row r="133" spans="2:4" s="365" customFormat="1" ht="12.75">
      <c r="B133" s="370"/>
      <c r="D133" s="370"/>
    </row>
    <row r="134" spans="2:4" s="365" customFormat="1" ht="12.75">
      <c r="B134" s="370"/>
      <c r="D134" s="370"/>
    </row>
    <row r="135" spans="2:4" s="365" customFormat="1" ht="12.75">
      <c r="B135" s="370"/>
      <c r="D135" s="370" t="s">
        <v>236</v>
      </c>
    </row>
    <row r="136" spans="2:4" s="365" customFormat="1" ht="12.75">
      <c r="B136" s="370"/>
      <c r="D136" s="370"/>
    </row>
    <row r="137" spans="2:4" s="365" customFormat="1" ht="12.75">
      <c r="B137" s="370"/>
      <c r="D137" s="370"/>
    </row>
    <row r="138" spans="2:4" s="365" customFormat="1" ht="12.75">
      <c r="B138" s="370"/>
      <c r="D138" s="370"/>
    </row>
    <row r="139" spans="2:4" s="365" customFormat="1" ht="12.75">
      <c r="B139" s="370"/>
      <c r="D139" s="370"/>
    </row>
    <row r="140" spans="2:4" s="365" customFormat="1" ht="12.75">
      <c r="B140" s="370"/>
      <c r="D140" s="370"/>
    </row>
    <row r="141" spans="2:4" s="365" customFormat="1" ht="12.75">
      <c r="B141" s="370"/>
      <c r="D141" s="370"/>
    </row>
    <row r="142" spans="2:4" s="365" customFormat="1" ht="12.75">
      <c r="B142" s="370"/>
      <c r="D142" s="370"/>
    </row>
    <row r="143" spans="2:4" s="365" customFormat="1" ht="12.75">
      <c r="B143" s="370"/>
      <c r="D143" s="370"/>
    </row>
    <row r="144" spans="2:4" s="365" customFormat="1" ht="12.75">
      <c r="B144" s="370"/>
      <c r="D144" s="370"/>
    </row>
    <row r="145" spans="2:4" s="365" customFormat="1" ht="12.75">
      <c r="B145" s="370"/>
      <c r="D145" s="370"/>
    </row>
    <row r="146" spans="2:4" s="365" customFormat="1" ht="12.75">
      <c r="B146" s="370"/>
      <c r="D146" s="370"/>
    </row>
    <row r="147" spans="2:4" s="365" customFormat="1" ht="12.75">
      <c r="B147" s="370"/>
      <c r="D147" s="370"/>
    </row>
    <row r="148" spans="2:4" s="365" customFormat="1" ht="12.75">
      <c r="B148" s="370"/>
      <c r="D148" s="370"/>
    </row>
    <row r="149" spans="2:4" s="365" customFormat="1" ht="12.75">
      <c r="B149" s="370"/>
      <c r="D149" s="370"/>
    </row>
    <row r="150" spans="2:4" s="365" customFormat="1" ht="12.75">
      <c r="B150" s="370"/>
      <c r="D150" s="370"/>
    </row>
    <row r="151" spans="2:4" s="365" customFormat="1" ht="12.75">
      <c r="B151" s="370"/>
      <c r="D151" s="370"/>
    </row>
    <row r="152" spans="2:4" s="365" customFormat="1" ht="12.75">
      <c r="B152" s="370"/>
      <c r="D152" s="370"/>
    </row>
    <row r="153" spans="2:4" s="365" customFormat="1" ht="12.75">
      <c r="B153" s="370"/>
      <c r="D153" s="370"/>
    </row>
    <row r="154" spans="2:4" s="365" customFormat="1" ht="12.75">
      <c r="B154" s="370"/>
      <c r="D154" s="370"/>
    </row>
    <row r="155" spans="2:4" s="365" customFormat="1" ht="12.75">
      <c r="B155" s="370"/>
      <c r="D155" s="370"/>
    </row>
    <row r="156" spans="2:4" s="365" customFormat="1" ht="12.75">
      <c r="B156" s="370"/>
      <c r="D156" s="370"/>
    </row>
    <row r="157" spans="2:4" s="365" customFormat="1" ht="12.75">
      <c r="B157" s="370"/>
      <c r="D157" s="370"/>
    </row>
    <row r="158" spans="2:4" s="365" customFormat="1" ht="12.75">
      <c r="B158" s="370"/>
      <c r="D158" s="370"/>
    </row>
    <row r="159" spans="2:4" s="365" customFormat="1" ht="12.75">
      <c r="B159" s="370"/>
      <c r="D159" s="370"/>
    </row>
    <row r="160" spans="2:4" s="365" customFormat="1" ht="12.75">
      <c r="B160" s="370"/>
      <c r="D160" s="370"/>
    </row>
    <row r="161" spans="2:82" ht="12.75">
      <c r="B161" s="370"/>
      <c r="C161" s="365"/>
      <c r="D161" s="370"/>
      <c r="E161" s="365"/>
      <c r="F161" s="365"/>
      <c r="G161" s="365"/>
      <c r="H161" s="365"/>
      <c r="I161" s="365"/>
      <c r="J161" s="365"/>
      <c r="K161" s="365"/>
      <c r="L161" s="365"/>
      <c r="M161" s="365"/>
      <c r="N161" s="365"/>
      <c r="O161" s="365"/>
      <c r="P161" s="365"/>
      <c r="Q161" s="365"/>
      <c r="R161" s="365"/>
      <c r="S161" s="365"/>
      <c r="T161" s="365"/>
      <c r="U161" s="365"/>
      <c r="V161" s="365"/>
      <c r="W161" s="365"/>
      <c r="X161" s="365"/>
      <c r="Y161" s="365"/>
      <c r="Z161" s="365"/>
      <c r="AA161" s="365"/>
      <c r="AB161" s="365"/>
      <c r="AC161" s="365"/>
      <c r="AD161" s="365"/>
      <c r="AE161" s="365"/>
      <c r="AF161" s="365"/>
      <c r="AG161" s="365"/>
      <c r="AH161" s="365"/>
      <c r="AI161" s="365"/>
      <c r="AJ161" s="365"/>
      <c r="AK161" s="365"/>
      <c r="AL161" s="365"/>
      <c r="AM161" s="365"/>
      <c r="AN161" s="365"/>
      <c r="AO161" s="365"/>
      <c r="AP161" s="365"/>
      <c r="AQ161" s="365"/>
      <c r="AR161" s="365"/>
      <c r="AS161" s="365"/>
      <c r="AT161" s="365"/>
      <c r="AU161" s="365"/>
      <c r="AV161" s="365"/>
      <c r="AW161" s="365"/>
      <c r="AX161" s="365"/>
      <c r="AY161" s="365"/>
      <c r="AZ161" s="365"/>
      <c r="BA161" s="365"/>
      <c r="BB161" s="365"/>
      <c r="BC161" s="365"/>
      <c r="BD161" s="365"/>
      <c r="BE161" s="365"/>
      <c r="BF161" s="365"/>
      <c r="BG161" s="365"/>
      <c r="BH161" s="365"/>
      <c r="BI161" s="365"/>
      <c r="BJ161" s="365"/>
      <c r="BK161" s="365"/>
      <c r="BL161" s="365"/>
      <c r="BM161" s="365"/>
      <c r="BN161" s="365"/>
      <c r="BO161" s="365"/>
      <c r="BP161" s="365"/>
      <c r="BQ161" s="365"/>
      <c r="BR161" s="365"/>
      <c r="BS161" s="365"/>
      <c r="BT161" s="365"/>
      <c r="BU161" s="365"/>
      <c r="BV161" s="365"/>
      <c r="BW161" s="365"/>
      <c r="BX161" s="365"/>
      <c r="BY161" s="365"/>
      <c r="BZ161" s="365"/>
      <c r="CA161" s="365"/>
      <c r="CB161" s="365"/>
      <c r="CC161" s="365"/>
      <c r="CD161" s="365"/>
    </row>
  </sheetData>
  <printOptions/>
  <pageMargins left="0.75" right="0.75" top="1" bottom="1" header="0.5" footer="0.5"/>
  <pageSetup fitToHeight="2" fitToWidth="1" horizontalDpi="300" verticalDpi="300" orientation="portrait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5"/>
  <sheetViews>
    <sheetView zoomScale="75" zoomScaleNormal="75" workbookViewId="0" topLeftCell="A118">
      <pane xSplit="2" topLeftCell="C1" activePane="topRight" state="frozen"/>
      <selection pane="topLeft" activeCell="A57" sqref="A57"/>
      <selection pane="topRight" activeCell="C127" sqref="C127"/>
    </sheetView>
  </sheetViews>
  <sheetFormatPr defaultColWidth="9.140625" defaultRowHeight="12.75"/>
  <cols>
    <col min="1" max="1" width="2.57421875" style="365" customWidth="1"/>
    <col min="2" max="2" width="49.57421875" style="0" customWidth="1"/>
    <col min="3" max="3" width="29.8515625" style="0" customWidth="1"/>
    <col min="4" max="4" width="48.57421875" style="0" customWidth="1"/>
    <col min="5" max="5" width="28.8515625" style="0" customWidth="1"/>
    <col min="6" max="6" width="22.140625" style="0" customWidth="1"/>
    <col min="8" max="8" width="13.8515625" style="0" bestFit="1" customWidth="1"/>
    <col min="11" max="233" width="9.140625" style="365" customWidth="1"/>
  </cols>
  <sheetData>
    <row r="1" spans="2:10" ht="12.75">
      <c r="B1" s="365"/>
      <c r="C1" s="365"/>
      <c r="D1" s="365"/>
      <c r="E1" s="365"/>
      <c r="F1" s="365"/>
      <c r="G1" s="365"/>
      <c r="H1" s="365"/>
      <c r="I1" s="365"/>
      <c r="J1" s="365"/>
    </row>
    <row r="2" spans="2:10" ht="12.75">
      <c r="B2" s="365"/>
      <c r="C2" s="365"/>
      <c r="D2" s="365"/>
      <c r="E2" s="365"/>
      <c r="F2" s="365"/>
      <c r="G2" s="365"/>
      <c r="H2" s="365"/>
      <c r="I2" s="365"/>
      <c r="J2" s="365"/>
    </row>
    <row r="3" spans="2:10" ht="12.75">
      <c r="B3" s="365"/>
      <c r="C3" s="365"/>
      <c r="D3" s="365"/>
      <c r="E3" s="365"/>
      <c r="F3" s="365"/>
      <c r="G3" s="365"/>
      <c r="H3" s="365"/>
      <c r="I3" s="365"/>
      <c r="J3" s="365"/>
    </row>
    <row r="4" spans="2:10" ht="13.5" thickBot="1">
      <c r="B4" s="365"/>
      <c r="C4" s="365"/>
      <c r="D4" s="365"/>
      <c r="E4" s="365"/>
      <c r="F4" s="365"/>
      <c r="G4" s="365"/>
      <c r="H4" s="365"/>
      <c r="I4" s="365"/>
      <c r="J4" s="365"/>
    </row>
    <row r="5" spans="2:10" ht="24" customHeight="1" thickBot="1" thickTop="1">
      <c r="B5" s="450" t="s">
        <v>104</v>
      </c>
      <c r="C5" s="443"/>
      <c r="D5" s="443"/>
      <c r="E5" s="449"/>
      <c r="F5" s="444"/>
      <c r="G5" s="377"/>
      <c r="H5" s="365"/>
      <c r="I5" s="365"/>
      <c r="J5" s="365"/>
    </row>
    <row r="6" spans="2:10" ht="15.75" customHeight="1">
      <c r="B6" s="474"/>
      <c r="C6" s="475"/>
      <c r="D6" s="476"/>
      <c r="E6" s="481" t="s">
        <v>283</v>
      </c>
      <c r="F6" s="473"/>
      <c r="G6" s="377"/>
      <c r="H6" s="365"/>
      <c r="I6" s="365"/>
      <c r="J6" s="365"/>
    </row>
    <row r="7" spans="2:10" ht="13.5" customHeight="1">
      <c r="B7" s="76" t="s">
        <v>106</v>
      </c>
      <c r="C7" s="77"/>
      <c r="D7" s="479"/>
      <c r="E7" s="108" t="s">
        <v>281</v>
      </c>
      <c r="F7" s="480" t="s">
        <v>282</v>
      </c>
      <c r="G7" s="377"/>
      <c r="H7" s="365"/>
      <c r="I7" s="365"/>
      <c r="J7" s="365"/>
    </row>
    <row r="8" spans="1:10" ht="11.25" customHeight="1">
      <c r="A8" s="394"/>
      <c r="B8" s="76" t="s">
        <v>107</v>
      </c>
      <c r="C8" s="477">
        <f>0.8*(SUM('Primary Sources'!D11:D20)-SUMPRODUCT('Primary Sources'!D11:D20,'Primary Sources'!E11:E20)/100)</f>
        <v>0</v>
      </c>
      <c r="D8" s="73" t="s">
        <v>284</v>
      </c>
      <c r="E8" s="61">
        <v>150</v>
      </c>
      <c r="F8" s="74">
        <v>15</v>
      </c>
      <c r="G8" s="377"/>
      <c r="H8" s="365"/>
      <c r="I8" s="365"/>
      <c r="J8" s="365"/>
    </row>
    <row r="9" spans="1:10" ht="11.25" customHeight="1">
      <c r="A9" s="394"/>
      <c r="B9" s="482" t="s">
        <v>280</v>
      </c>
      <c r="C9" s="478"/>
      <c r="D9" s="73" t="s">
        <v>108</v>
      </c>
      <c r="E9" s="61">
        <v>0.5</v>
      </c>
      <c r="F9" s="74">
        <v>0.5</v>
      </c>
      <c r="G9" s="377"/>
      <c r="H9" s="365"/>
      <c r="I9" s="365"/>
      <c r="J9" s="365"/>
    </row>
    <row r="10" spans="1:10" ht="14.25" customHeight="1">
      <c r="A10" s="394"/>
      <c r="B10" s="78" t="s">
        <v>148</v>
      </c>
      <c r="C10" s="155">
        <v>0.78</v>
      </c>
      <c r="D10" s="73" t="s">
        <v>285</v>
      </c>
      <c r="E10" s="61">
        <v>0.25</v>
      </c>
      <c r="F10" s="74">
        <v>0.05</v>
      </c>
      <c r="G10" s="377"/>
      <c r="H10" s="365"/>
      <c r="I10" s="365"/>
      <c r="J10" s="365"/>
    </row>
    <row r="11" spans="1:10" ht="11.25" customHeight="1">
      <c r="A11" s="394"/>
      <c r="B11" s="144" t="s">
        <v>149</v>
      </c>
      <c r="C11" s="165">
        <v>0.65</v>
      </c>
      <c r="D11" s="101" t="s">
        <v>286</v>
      </c>
      <c r="E11" s="61"/>
      <c r="F11" s="74"/>
      <c r="G11" s="377"/>
      <c r="H11" s="365"/>
      <c r="I11" s="365"/>
      <c r="J11" s="365"/>
    </row>
    <row r="12" spans="2:10" ht="11.25" customHeight="1">
      <c r="B12" s="78" t="s">
        <v>279</v>
      </c>
      <c r="C12" s="88"/>
      <c r="D12" s="73" t="s">
        <v>287</v>
      </c>
      <c r="E12" s="61">
        <v>0.03</v>
      </c>
      <c r="F12" s="74">
        <v>0.1</v>
      </c>
      <c r="G12" s="377"/>
      <c r="H12" s="365"/>
      <c r="I12" s="365"/>
      <c r="J12" s="365"/>
    </row>
    <row r="13" spans="2:10" ht="11.25" customHeight="1">
      <c r="B13" s="78" t="s">
        <v>255</v>
      </c>
      <c r="C13" s="155">
        <v>0.7</v>
      </c>
      <c r="D13" s="73" t="s">
        <v>288</v>
      </c>
      <c r="E13" s="61">
        <v>0.1</v>
      </c>
      <c r="F13" s="74">
        <v>0.35</v>
      </c>
      <c r="G13" s="377"/>
      <c r="H13" s="365"/>
      <c r="I13" s="365"/>
      <c r="J13" s="365"/>
    </row>
    <row r="14" spans="2:10" ht="11.25" customHeight="1">
      <c r="B14" s="484"/>
      <c r="C14" s="485"/>
      <c r="D14" s="73" t="s">
        <v>289</v>
      </c>
      <c r="E14" s="61">
        <v>0.7</v>
      </c>
      <c r="F14" s="74">
        <v>0.8</v>
      </c>
      <c r="G14" s="377"/>
      <c r="H14" s="365"/>
      <c r="I14" s="365"/>
      <c r="J14" s="365"/>
    </row>
    <row r="15" spans="2:10" ht="18" customHeight="1" thickBot="1">
      <c r="B15" s="513"/>
      <c r="C15" s="514"/>
      <c r="D15" s="515" t="s">
        <v>290</v>
      </c>
      <c r="E15" s="164">
        <v>0.9</v>
      </c>
      <c r="F15" s="516">
        <v>0.95</v>
      </c>
      <c r="G15" s="365"/>
      <c r="H15" s="365"/>
      <c r="I15" s="365"/>
      <c r="J15" s="365"/>
    </row>
    <row r="16" spans="2:10" ht="18" customHeight="1" thickBot="1">
      <c r="B16" s="517"/>
      <c r="C16" s="518"/>
      <c r="D16" s="357" t="s">
        <v>303</v>
      </c>
      <c r="E16" s="172">
        <f>SUMPRODUCT(E12:E15,'Secondary Sources'!$C66:$C69)</f>
        <v>0</v>
      </c>
      <c r="F16" s="533">
        <f>SUMPRODUCT(F12:F15,'Secondary Sources'!$C66:$C69)</f>
        <v>0</v>
      </c>
      <c r="G16" s="365"/>
      <c r="H16" s="365"/>
      <c r="I16" s="365"/>
      <c r="J16" s="365"/>
    </row>
    <row r="17" spans="2:10" ht="18" customHeight="1" thickBot="1" thickTop="1">
      <c r="B17" s="365"/>
      <c r="C17" s="365"/>
      <c r="D17" s="512"/>
      <c r="E17" s="512"/>
      <c r="F17" s="377"/>
      <c r="G17" s="365"/>
      <c r="H17" s="365"/>
      <c r="I17" s="365"/>
      <c r="J17" s="365"/>
    </row>
    <row r="18" spans="2:10" ht="21.75" thickBot="1" thickTop="1">
      <c r="B18" s="483" t="s">
        <v>105</v>
      </c>
      <c r="C18" s="443"/>
      <c r="D18" s="443"/>
      <c r="E18" s="444"/>
      <c r="F18" s="377"/>
      <c r="G18" s="377"/>
      <c r="H18" s="365"/>
      <c r="I18" s="365"/>
      <c r="J18" s="365"/>
    </row>
    <row r="19" spans="1:10" ht="12.75">
      <c r="A19" s="394"/>
      <c r="B19" s="68"/>
      <c r="C19" s="87"/>
      <c r="D19" s="89"/>
      <c r="E19" s="43"/>
      <c r="F19" s="377"/>
      <c r="G19" s="377"/>
      <c r="H19" s="365"/>
      <c r="I19" s="365"/>
      <c r="J19" s="365"/>
    </row>
    <row r="20" spans="1:10" ht="12.75">
      <c r="A20" s="394"/>
      <c r="B20" s="78" t="s">
        <v>106</v>
      </c>
      <c r="C20" s="88"/>
      <c r="D20" s="494"/>
      <c r="E20" s="492"/>
      <c r="F20" s="431"/>
      <c r="G20" s="377"/>
      <c r="H20" s="365"/>
      <c r="I20" s="365"/>
      <c r="J20" s="365"/>
    </row>
    <row r="21" spans="1:10" ht="12.75">
      <c r="A21" s="394"/>
      <c r="B21" s="484"/>
      <c r="C21" s="485"/>
      <c r="D21" s="494"/>
      <c r="E21" s="492"/>
      <c r="F21" s="431"/>
      <c r="G21" s="377"/>
      <c r="H21" s="365"/>
      <c r="I21" s="365"/>
      <c r="J21" s="365"/>
    </row>
    <row r="22" spans="1:10" ht="12.75">
      <c r="A22" s="394"/>
      <c r="B22" s="493" t="s">
        <v>280</v>
      </c>
      <c r="C22" s="485"/>
      <c r="D22" s="495" t="s">
        <v>291</v>
      </c>
      <c r="E22" s="492"/>
      <c r="F22" s="431"/>
      <c r="G22" s="377"/>
      <c r="H22" s="365"/>
      <c r="I22" s="365"/>
      <c r="J22" s="365"/>
    </row>
    <row r="23" spans="1:10" ht="12.75">
      <c r="A23" s="394"/>
      <c r="B23" s="78" t="s">
        <v>109</v>
      </c>
      <c r="C23" s="155">
        <v>0.4</v>
      </c>
      <c r="D23" s="73" t="s">
        <v>110</v>
      </c>
      <c r="E23" s="74">
        <v>0.32</v>
      </c>
      <c r="F23" s="431"/>
      <c r="G23" s="377"/>
      <c r="H23" s="365"/>
      <c r="I23" s="365"/>
      <c r="J23" s="365"/>
    </row>
    <row r="24" spans="1:10" ht="12.75">
      <c r="A24" s="394"/>
      <c r="B24" s="78" t="s">
        <v>292</v>
      </c>
      <c r="C24" s="155">
        <v>0.5</v>
      </c>
      <c r="D24" s="73" t="s">
        <v>111</v>
      </c>
      <c r="E24" s="74">
        <v>0.23</v>
      </c>
      <c r="F24" s="377"/>
      <c r="G24" s="377"/>
      <c r="H24" s="365"/>
      <c r="I24" s="365"/>
      <c r="J24" s="365"/>
    </row>
    <row r="25" spans="1:10" ht="12" customHeight="1">
      <c r="A25" s="394"/>
      <c r="B25" s="78" t="s">
        <v>150</v>
      </c>
      <c r="C25" s="155">
        <v>0.6</v>
      </c>
      <c r="D25" s="73" t="s">
        <v>308</v>
      </c>
      <c r="E25" s="74">
        <v>0.25</v>
      </c>
      <c r="F25" s="377"/>
      <c r="G25" s="377"/>
      <c r="H25" s="365"/>
      <c r="I25" s="365"/>
      <c r="J25" s="365"/>
    </row>
    <row r="26" spans="1:10" ht="12" customHeight="1">
      <c r="A26" s="394"/>
      <c r="B26" s="78" t="s">
        <v>255</v>
      </c>
      <c r="C26" s="155">
        <v>0.6</v>
      </c>
      <c r="D26" s="73" t="s">
        <v>112</v>
      </c>
      <c r="E26" s="74">
        <v>0.01</v>
      </c>
      <c r="F26" s="377"/>
      <c r="G26" s="377"/>
      <c r="H26" s="365"/>
      <c r="I26" s="365"/>
      <c r="J26" s="365"/>
    </row>
    <row r="27" spans="1:10" ht="12.75">
      <c r="A27" s="394"/>
      <c r="B27" s="78" t="s">
        <v>279</v>
      </c>
      <c r="C27" s="88"/>
      <c r="D27" s="73" t="s">
        <v>309</v>
      </c>
      <c r="E27" s="74">
        <v>0.75</v>
      </c>
      <c r="F27" s="377"/>
      <c r="G27" s="377"/>
      <c r="H27" s="365"/>
      <c r="I27" s="365"/>
      <c r="J27" s="365"/>
    </row>
    <row r="28" spans="1:10" ht="12.75">
      <c r="A28" s="394"/>
      <c r="B28" s="144"/>
      <c r="C28" s="534"/>
      <c r="D28" s="73" t="s">
        <v>234</v>
      </c>
      <c r="E28" s="74">
        <v>10</v>
      </c>
      <c r="F28" s="377"/>
      <c r="G28" s="377"/>
      <c r="H28" s="365"/>
      <c r="I28" s="365"/>
      <c r="J28" s="365"/>
    </row>
    <row r="29" spans="1:10" ht="12.75">
      <c r="A29" s="394"/>
      <c r="B29" s="144"/>
      <c r="C29" s="534"/>
      <c r="D29" s="73" t="s">
        <v>113</v>
      </c>
      <c r="E29" s="356">
        <f>'Secondary Sources'!I82</f>
        <v>0.05</v>
      </c>
      <c r="F29" s="377"/>
      <c r="G29" s="368"/>
      <c r="H29" s="365"/>
      <c r="I29" s="365"/>
      <c r="J29" s="365"/>
    </row>
    <row r="30" spans="1:10" ht="11.25" customHeight="1">
      <c r="A30" s="394"/>
      <c r="B30" s="144"/>
      <c r="C30" s="534"/>
      <c r="D30" s="515"/>
      <c r="E30" s="535"/>
      <c r="F30" s="377"/>
      <c r="G30" s="368"/>
      <c r="H30" s="365"/>
      <c r="I30" s="365"/>
      <c r="J30" s="365"/>
    </row>
    <row r="31" spans="1:10" ht="12.75">
      <c r="A31" s="378"/>
      <c r="B31" s="144"/>
      <c r="C31" s="534"/>
      <c r="D31" s="515"/>
      <c r="E31" s="535"/>
      <c r="F31" s="377"/>
      <c r="G31" s="368"/>
      <c r="H31" s="365"/>
      <c r="I31" s="365"/>
      <c r="J31" s="365"/>
    </row>
    <row r="32" spans="2:10" ht="13.5" thickBot="1">
      <c r="B32" s="80"/>
      <c r="C32" s="81"/>
      <c r="D32" s="490"/>
      <c r="E32" s="491"/>
      <c r="F32" s="368"/>
      <c r="G32" s="377"/>
      <c r="H32" s="365"/>
      <c r="I32" s="365"/>
      <c r="J32" s="365"/>
    </row>
    <row r="33" spans="2:10" ht="13.5" thickTop="1">
      <c r="B33" s="378"/>
      <c r="C33" s="365"/>
      <c r="D33" s="365"/>
      <c r="E33" s="365"/>
      <c r="F33" s="377"/>
      <c r="G33" s="365"/>
      <c r="H33" s="365"/>
      <c r="I33" s="365"/>
      <c r="J33" s="365"/>
    </row>
    <row r="34" spans="1:10" ht="13.5" thickBot="1">
      <c r="A34" s="378"/>
      <c r="B34" s="378"/>
      <c r="C34" s="365"/>
      <c r="D34" s="365"/>
      <c r="E34" s="365"/>
      <c r="F34" s="365"/>
      <c r="G34" s="377"/>
      <c r="H34" s="365"/>
      <c r="I34" s="365"/>
      <c r="J34" s="365"/>
    </row>
    <row r="35" spans="1:10" ht="21.75" thickBot="1" thickTop="1">
      <c r="A35" s="394"/>
      <c r="B35" s="435" t="s">
        <v>114</v>
      </c>
      <c r="C35" s="444"/>
      <c r="D35" s="431"/>
      <c r="E35" s="377"/>
      <c r="F35" s="377"/>
      <c r="G35" s="377"/>
      <c r="H35" s="365"/>
      <c r="I35" s="365"/>
      <c r="J35" s="365"/>
    </row>
    <row r="36" spans="1:10" ht="12.75">
      <c r="A36" s="394"/>
      <c r="B36" s="68"/>
      <c r="C36" s="43"/>
      <c r="D36" s="431"/>
      <c r="E36" s="377"/>
      <c r="F36" s="377"/>
      <c r="G36" s="377"/>
      <c r="H36" s="365"/>
      <c r="I36" s="365"/>
      <c r="J36" s="365"/>
    </row>
    <row r="37" spans="1:10" ht="12.75">
      <c r="A37" s="394"/>
      <c r="B37" s="78" t="s">
        <v>275</v>
      </c>
      <c r="C37" s="347">
        <v>0.7</v>
      </c>
      <c r="D37" s="431"/>
      <c r="E37" s="377"/>
      <c r="F37" s="377"/>
      <c r="G37" s="377"/>
      <c r="H37" s="365"/>
      <c r="I37" s="365"/>
      <c r="J37" s="365"/>
    </row>
    <row r="38" spans="2:10" ht="12.75">
      <c r="B38" s="78"/>
      <c r="C38" s="338"/>
      <c r="D38" s="431"/>
      <c r="E38" s="377"/>
      <c r="F38" s="377"/>
      <c r="G38" s="377"/>
      <c r="H38" s="365"/>
      <c r="I38" s="365"/>
      <c r="J38" s="365"/>
    </row>
    <row r="39" spans="2:10" ht="12.75">
      <c r="B39" s="78" t="s">
        <v>115</v>
      </c>
      <c r="C39" s="126"/>
      <c r="D39" s="431"/>
      <c r="E39" s="377"/>
      <c r="F39" s="377"/>
      <c r="G39" s="377"/>
      <c r="H39" s="365"/>
      <c r="I39" s="365"/>
      <c r="J39" s="365"/>
    </row>
    <row r="40" spans="2:10" ht="12.75">
      <c r="B40" s="78" t="s">
        <v>259</v>
      </c>
      <c r="C40" s="372"/>
      <c r="D40" s="470"/>
      <c r="E40" s="378"/>
      <c r="F40" s="377"/>
      <c r="G40" s="377"/>
      <c r="H40" s="365"/>
      <c r="I40" s="365"/>
      <c r="J40" s="365"/>
    </row>
    <row r="41" spans="2:10" ht="13.5" thickBot="1">
      <c r="B41" s="80" t="s">
        <v>260</v>
      </c>
      <c r="C41" s="373"/>
      <c r="D41" s="431"/>
      <c r="E41" s="342"/>
      <c r="F41" s="377"/>
      <c r="G41" s="377"/>
      <c r="H41" s="365"/>
      <c r="I41" s="365"/>
      <c r="J41" s="365"/>
    </row>
    <row r="42" spans="2:11" ht="14.25" thickBot="1" thickTop="1">
      <c r="B42" s="365"/>
      <c r="C42" s="365"/>
      <c r="D42" s="365"/>
      <c r="E42" s="365"/>
      <c r="F42" s="365"/>
      <c r="G42" s="370"/>
      <c r="H42" s="365"/>
      <c r="I42" s="365"/>
      <c r="J42" s="365"/>
      <c r="K42" s="377"/>
    </row>
    <row r="43" spans="2:12" ht="21.75" thickBot="1" thickTop="1">
      <c r="B43" s="435" t="s">
        <v>84</v>
      </c>
      <c r="C43" s="455"/>
      <c r="D43" s="455"/>
      <c r="E43" s="455"/>
      <c r="F43" s="455"/>
      <c r="G43" s="443"/>
      <c r="H43" s="443"/>
      <c r="I43" s="443"/>
      <c r="J43" s="444"/>
      <c r="K43" s="470"/>
      <c r="L43" s="378"/>
    </row>
    <row r="44" spans="2:10" ht="12.75">
      <c r="B44" s="27"/>
      <c r="C44" s="496" t="s">
        <v>293</v>
      </c>
      <c r="D44" s="11"/>
      <c r="E44" s="11" t="s">
        <v>272</v>
      </c>
      <c r="F44" s="29" t="s">
        <v>118</v>
      </c>
      <c r="G44" s="11"/>
      <c r="H44" s="29" t="s">
        <v>120</v>
      </c>
      <c r="I44" s="11"/>
      <c r="J44" s="12"/>
    </row>
    <row r="45" spans="2:10" ht="12.75">
      <c r="B45" s="76" t="s">
        <v>116</v>
      </c>
      <c r="C45" s="90" t="s">
        <v>12</v>
      </c>
      <c r="D45" s="90" t="s">
        <v>117</v>
      </c>
      <c r="E45" s="90" t="s">
        <v>198</v>
      </c>
      <c r="F45" s="90" t="s">
        <v>119</v>
      </c>
      <c r="G45" s="90" t="s">
        <v>6</v>
      </c>
      <c r="H45" s="90" t="s">
        <v>119</v>
      </c>
      <c r="I45" s="90" t="s">
        <v>6</v>
      </c>
      <c r="J45" s="249"/>
    </row>
    <row r="46" spans="1:10" ht="12.75">
      <c r="A46" s="378"/>
      <c r="B46" s="91" t="s">
        <v>121</v>
      </c>
      <c r="C46" s="92"/>
      <c r="D46" s="92"/>
      <c r="E46" s="92"/>
      <c r="F46" s="93">
        <v>0.24</v>
      </c>
      <c r="G46" s="93">
        <v>0.3</v>
      </c>
      <c r="H46" s="93">
        <v>0.04</v>
      </c>
      <c r="I46" s="93">
        <v>0.05</v>
      </c>
      <c r="J46" s="97"/>
    </row>
    <row r="47" spans="1:10" ht="12.75">
      <c r="A47" s="378"/>
      <c r="B47" s="91" t="s">
        <v>122</v>
      </c>
      <c r="C47" s="83"/>
      <c r="D47" s="83"/>
      <c r="E47" s="83"/>
      <c r="F47" s="93">
        <v>0.51</v>
      </c>
      <c r="G47" s="93">
        <v>0.64</v>
      </c>
      <c r="H47" s="93">
        <v>0.18</v>
      </c>
      <c r="I47" s="93">
        <v>0.22</v>
      </c>
      <c r="J47" s="97"/>
    </row>
    <row r="48" spans="1:10" ht="12.75">
      <c r="A48" s="378"/>
      <c r="B48" s="91" t="s">
        <v>123</v>
      </c>
      <c r="C48" s="83"/>
      <c r="D48" s="83"/>
      <c r="E48" s="83"/>
      <c r="F48" s="93">
        <v>0.62</v>
      </c>
      <c r="G48" s="93">
        <v>0.78</v>
      </c>
      <c r="H48" s="93">
        <v>0.63</v>
      </c>
      <c r="I48" s="93">
        <v>0.79</v>
      </c>
      <c r="J48" s="97"/>
    </row>
    <row r="49" spans="1:10" ht="12.75">
      <c r="A49" s="394"/>
      <c r="B49" s="392" t="s">
        <v>152</v>
      </c>
      <c r="C49" s="83"/>
      <c r="D49" s="83"/>
      <c r="E49" s="83"/>
      <c r="F49" s="369"/>
      <c r="G49" s="94"/>
      <c r="H49" s="94"/>
      <c r="I49" s="94"/>
      <c r="J49" s="97"/>
    </row>
    <row r="50" spans="1:10" ht="15" customHeight="1" thickBot="1">
      <c r="A50" s="378"/>
      <c r="B50" s="144" t="s">
        <v>124</v>
      </c>
      <c r="C50" s="210">
        <f>0.35*SUMPRODUCT('Primary Sources'!D11:D20,'Primary Sources'!E11:E20)/100</f>
        <v>0</v>
      </c>
      <c r="D50" s="210">
        <f>SUMPRODUCT('Primary Sources'!D26:D30,'Primary Sources'!E26:E30)/100+0.1*SUMPRODUCT('Primary Sources'!D31:D35,'Primary Sources'!E31:E35)/100+0.1*SUMPRODUCT('Primary Sources'!D21:D25,'Primary Sources'!E21:E25)/100</f>
        <v>0</v>
      </c>
      <c r="E50" s="210">
        <f>0.55*SUMPRODUCT('Primary Sources'!D31:D35,'Primary Sources'!E31:E35)/100+0.6*SUMPRODUCT('Primary Sources'!D21:D25,'Primary Sources'!E21:E25)/100</f>
        <v>0</v>
      </c>
      <c r="F50" s="363"/>
      <c r="G50" s="363"/>
      <c r="H50" s="363"/>
      <c r="I50" s="363"/>
      <c r="J50" s="472"/>
    </row>
    <row r="51" spans="1:13" ht="12.75" customHeight="1" thickBot="1">
      <c r="A51" s="378"/>
      <c r="B51" s="169" t="s">
        <v>256</v>
      </c>
      <c r="C51" s="358"/>
      <c r="D51" s="359"/>
      <c r="E51" s="359"/>
      <c r="F51" s="876"/>
      <c r="G51" s="876"/>
      <c r="H51" s="877"/>
      <c r="I51" s="877"/>
      <c r="J51" s="878"/>
      <c r="K51" s="378"/>
      <c r="L51" s="378"/>
      <c r="M51" s="378"/>
    </row>
    <row r="52" spans="2:11" ht="14.25" thickBot="1" thickTop="1">
      <c r="B52" s="365"/>
      <c r="C52" s="365"/>
      <c r="D52" s="365"/>
      <c r="E52" s="365"/>
      <c r="F52" s="365"/>
      <c r="G52" s="365"/>
      <c r="H52" s="365"/>
      <c r="I52" s="365"/>
      <c r="J52" s="365"/>
      <c r="K52" s="377"/>
    </row>
    <row r="53" spans="2:12" ht="21.75" thickBot="1" thickTop="1">
      <c r="B53" s="435" t="s">
        <v>237</v>
      </c>
      <c r="C53" s="466"/>
      <c r="D53" s="462"/>
      <c r="E53" s="462"/>
      <c r="F53" s="462"/>
      <c r="G53" s="377"/>
      <c r="H53" s="377"/>
      <c r="I53" s="377"/>
      <c r="J53" s="377"/>
      <c r="K53" s="378"/>
      <c r="L53" s="378"/>
    </row>
    <row r="54" spans="2:10" ht="12.75">
      <c r="B54" s="41"/>
      <c r="C54" s="303"/>
      <c r="D54" s="377"/>
      <c r="E54" s="378"/>
      <c r="F54" s="378"/>
      <c r="G54" s="378"/>
      <c r="H54" s="378"/>
      <c r="I54" s="378"/>
      <c r="J54" s="378"/>
    </row>
    <row r="55" spans="2:10" ht="12.75">
      <c r="B55" s="78" t="s">
        <v>401</v>
      </c>
      <c r="C55" s="129"/>
      <c r="D55" s="378"/>
      <c r="E55" s="378"/>
      <c r="F55" s="378"/>
      <c r="G55" s="365"/>
      <c r="H55" s="365"/>
      <c r="I55" s="365"/>
      <c r="J55" s="365"/>
    </row>
    <row r="56" spans="2:10" ht="12.75">
      <c r="B56" s="78" t="s">
        <v>125</v>
      </c>
      <c r="C56" s="70">
        <f>C55*'Secondary Sources'!C3</f>
        <v>0</v>
      </c>
      <c r="D56" s="498"/>
      <c r="E56" s="378"/>
      <c r="G56" s="365"/>
      <c r="H56" s="365"/>
      <c r="I56" s="365"/>
      <c r="J56" s="365"/>
    </row>
    <row r="57" spans="2:10" ht="13.5" thickBot="1">
      <c r="B57" s="80" t="s">
        <v>126</v>
      </c>
      <c r="C57" s="48">
        <v>2000</v>
      </c>
      <c r="D57" s="498"/>
      <c r="E57" s="378"/>
      <c r="F57" s="378"/>
      <c r="G57" s="365"/>
      <c r="H57" s="365"/>
      <c r="I57" s="365"/>
      <c r="J57" s="365"/>
    </row>
    <row r="58" spans="2:10" ht="14.25" thickBot="1" thickTop="1">
      <c r="B58" s="497"/>
      <c r="C58" s="497"/>
      <c r="D58" s="378"/>
      <c r="E58" s="365"/>
      <c r="F58" s="365"/>
      <c r="G58" s="365"/>
      <c r="H58" s="365"/>
      <c r="I58" s="365"/>
      <c r="J58" s="365"/>
    </row>
    <row r="59" spans="2:10" ht="21.75" thickBot="1" thickTop="1">
      <c r="B59" s="435" t="s">
        <v>238</v>
      </c>
      <c r="C59" s="466"/>
      <c r="D59" s="462"/>
      <c r="E59" s="377"/>
      <c r="F59" s="377"/>
      <c r="G59" s="377"/>
      <c r="H59" s="377"/>
      <c r="I59" s="377"/>
      <c r="J59" s="378"/>
    </row>
    <row r="60" spans="2:10" ht="12.75">
      <c r="B60" s="41"/>
      <c r="C60" s="303"/>
      <c r="D60" s="378"/>
      <c r="E60" s="378"/>
      <c r="F60" s="378"/>
      <c r="G60" s="378"/>
      <c r="H60" s="378"/>
      <c r="I60" s="378"/>
      <c r="J60" s="378"/>
    </row>
    <row r="61" spans="2:10" ht="12.75">
      <c r="B61" s="78" t="s">
        <v>389</v>
      </c>
      <c r="C61" s="129"/>
      <c r="D61" s="365"/>
      <c r="E61" s="365"/>
      <c r="F61" s="365"/>
      <c r="G61" s="365"/>
      <c r="H61" s="365"/>
      <c r="I61" s="365"/>
      <c r="J61" s="365"/>
    </row>
    <row r="62" spans="2:10" ht="13.5" thickBot="1">
      <c r="B62" s="80" t="s">
        <v>239</v>
      </c>
      <c r="C62" s="224">
        <f>C61*0.3*SUMPRODUCT('Primary Sources'!D21:D25,'Primary Sources'!E21:E25)/100</f>
        <v>0</v>
      </c>
      <c r="D62" s="365"/>
      <c r="E62" s="365" t="s">
        <v>273</v>
      </c>
      <c r="F62" s="365"/>
      <c r="G62" s="365"/>
      <c r="H62" s="365"/>
      <c r="I62" s="365"/>
      <c r="J62" s="365"/>
    </row>
    <row r="63" spans="2:11" ht="14.25" thickBot="1" thickTop="1">
      <c r="B63" s="365"/>
      <c r="C63" s="365"/>
      <c r="D63" s="365"/>
      <c r="E63" s="365"/>
      <c r="F63" s="365"/>
      <c r="G63" s="365"/>
      <c r="H63" s="365"/>
      <c r="I63" s="365"/>
      <c r="J63" s="365"/>
      <c r="K63" s="377"/>
    </row>
    <row r="64" spans="2:10" ht="21.75" thickBot="1" thickTop="1">
      <c r="B64" s="435" t="s">
        <v>127</v>
      </c>
      <c r="C64" s="455"/>
      <c r="D64" s="455"/>
      <c r="E64" s="455"/>
      <c r="F64" s="455"/>
      <c r="G64" s="443"/>
      <c r="H64" s="431"/>
      <c r="I64" s="377"/>
      <c r="J64" s="377"/>
    </row>
    <row r="65" spans="2:10" ht="12.75">
      <c r="B65" s="41"/>
      <c r="C65" s="95" t="s">
        <v>153</v>
      </c>
      <c r="D65" s="42"/>
      <c r="E65" s="42" t="s">
        <v>129</v>
      </c>
      <c r="F65" s="42"/>
      <c r="G65" s="303"/>
      <c r="H65" s="431"/>
      <c r="I65" s="365"/>
      <c r="J65" s="365"/>
    </row>
    <row r="66" spans="2:10" ht="12.75">
      <c r="B66" s="78"/>
      <c r="C66" s="85" t="s">
        <v>26</v>
      </c>
      <c r="D66" s="85"/>
      <c r="E66" s="85"/>
      <c r="F66" s="85"/>
      <c r="G66" s="346"/>
      <c r="H66" s="431"/>
      <c r="I66" s="365"/>
      <c r="J66" s="365"/>
    </row>
    <row r="67" spans="2:10" ht="12.75">
      <c r="B67" s="78" t="s">
        <v>128</v>
      </c>
      <c r="C67" s="85"/>
      <c r="D67" s="85" t="s">
        <v>4</v>
      </c>
      <c r="E67" s="85" t="s">
        <v>5</v>
      </c>
      <c r="F67" s="85" t="s">
        <v>6</v>
      </c>
      <c r="G67" s="97" t="s">
        <v>130</v>
      </c>
      <c r="H67" s="431"/>
      <c r="I67" s="365"/>
      <c r="J67" s="365"/>
    </row>
    <row r="68" spans="2:10" ht="12.75">
      <c r="B68" s="91" t="s">
        <v>131</v>
      </c>
      <c r="C68" s="92"/>
      <c r="D68" s="93">
        <v>0.05</v>
      </c>
      <c r="E68" s="93">
        <v>0.19</v>
      </c>
      <c r="F68" s="93">
        <v>0.03</v>
      </c>
      <c r="G68" s="137">
        <v>0.1</v>
      </c>
      <c r="H68" s="431"/>
      <c r="I68" s="365"/>
      <c r="J68" s="365"/>
    </row>
    <row r="69" spans="1:10" ht="12.75">
      <c r="A69" s="378"/>
      <c r="B69" s="91" t="s">
        <v>328</v>
      </c>
      <c r="C69" s="83"/>
      <c r="D69" s="93">
        <v>0.25</v>
      </c>
      <c r="E69" s="93">
        <v>0.19</v>
      </c>
      <c r="F69" s="93">
        <v>0.47</v>
      </c>
      <c r="G69" s="137">
        <v>0.6</v>
      </c>
      <c r="H69" s="431"/>
      <c r="I69" s="365"/>
      <c r="J69" s="365"/>
    </row>
    <row r="70" spans="1:10" ht="12.75">
      <c r="A70" s="378"/>
      <c r="B70" s="91" t="s">
        <v>133</v>
      </c>
      <c r="C70" s="83"/>
      <c r="D70" s="93">
        <v>0.33</v>
      </c>
      <c r="E70" s="93">
        <v>0.51</v>
      </c>
      <c r="F70" s="93">
        <v>0.8</v>
      </c>
      <c r="G70" s="137">
        <v>0.7</v>
      </c>
      <c r="H70" s="431"/>
      <c r="I70" s="365"/>
      <c r="J70" s="365"/>
    </row>
    <row r="71" spans="1:10" ht="12.75">
      <c r="A71" s="378"/>
      <c r="B71" s="91" t="s">
        <v>134</v>
      </c>
      <c r="C71" s="83"/>
      <c r="D71" s="93">
        <v>0.3</v>
      </c>
      <c r="E71" s="93">
        <v>0.49</v>
      </c>
      <c r="F71" s="93">
        <v>0.76</v>
      </c>
      <c r="G71" s="137">
        <v>0.78</v>
      </c>
      <c r="H71" s="431"/>
      <c r="I71" s="365"/>
      <c r="J71" s="365"/>
    </row>
    <row r="72" spans="1:10" ht="12.75">
      <c r="A72" s="378"/>
      <c r="B72" s="91" t="s">
        <v>135</v>
      </c>
      <c r="C72" s="83"/>
      <c r="D72" s="93">
        <v>0.38</v>
      </c>
      <c r="E72" s="93">
        <v>0.34</v>
      </c>
      <c r="F72" s="93">
        <v>0.81</v>
      </c>
      <c r="G72" s="137">
        <v>0</v>
      </c>
      <c r="H72" s="431"/>
      <c r="I72" s="365"/>
      <c r="J72" s="365"/>
    </row>
    <row r="73" spans="1:10" ht="12.75">
      <c r="A73" s="378"/>
      <c r="B73" s="91" t="s">
        <v>136</v>
      </c>
      <c r="C73" s="83"/>
      <c r="D73" s="93">
        <v>0.38</v>
      </c>
      <c r="E73" s="93">
        <v>0.59</v>
      </c>
      <c r="F73" s="93">
        <v>0.86</v>
      </c>
      <c r="G73" s="137">
        <v>0.37</v>
      </c>
      <c r="H73" s="431"/>
      <c r="I73" s="365"/>
      <c r="J73" s="365"/>
    </row>
    <row r="74" spans="1:10" ht="13.5" thickBot="1">
      <c r="A74" s="378"/>
      <c r="B74" s="327" t="s">
        <v>137</v>
      </c>
      <c r="C74" s="328"/>
      <c r="D74" s="329">
        <v>0.51</v>
      </c>
      <c r="E74" s="329">
        <v>0.7</v>
      </c>
      <c r="F74" s="329">
        <v>0.9</v>
      </c>
      <c r="G74" s="137">
        <v>0.9</v>
      </c>
      <c r="H74" s="431"/>
      <c r="I74" s="365"/>
      <c r="J74" s="365"/>
    </row>
    <row r="75" spans="1:10" ht="13.5" thickBot="1">
      <c r="A75" s="378"/>
      <c r="B75" s="104" t="s">
        <v>138</v>
      </c>
      <c r="C75" s="330">
        <f>SUM(C68:C74)</f>
        <v>0</v>
      </c>
      <c r="D75" s="331">
        <f>IF($C75&gt;0,SUMPRODUCT($C68:$C74,D68:D74)/$C75,0)</f>
        <v>0</v>
      </c>
      <c r="E75" s="331">
        <f>IF($C75&gt;0,SUMPRODUCT($C68:$C74,E68:E74)/$C75,0)</f>
        <v>0</v>
      </c>
      <c r="F75" s="331">
        <f>IF($C75&gt;0,SUMPRODUCT($C68:$C74,F68:F74)/$C75,0)</f>
        <v>0</v>
      </c>
      <c r="G75" s="332">
        <f>IF($C75&gt;0,SUMPRODUCT($C68:$C74,G68:G74)/$C75,0)</f>
        <v>0</v>
      </c>
      <c r="H75" s="471"/>
      <c r="I75" s="365"/>
      <c r="J75" s="365"/>
    </row>
    <row r="76" spans="1:10" ht="13.5" thickBot="1">
      <c r="A76" s="378"/>
      <c r="B76" s="333"/>
      <c r="C76" s="334"/>
      <c r="D76" s="341"/>
      <c r="E76" s="341"/>
      <c r="F76" s="335"/>
      <c r="G76" s="336"/>
      <c r="H76" s="471"/>
      <c r="I76" s="365"/>
      <c r="J76" s="365"/>
    </row>
    <row r="77" spans="1:10" ht="12.75">
      <c r="A77" s="378"/>
      <c r="B77" s="348" t="s">
        <v>294</v>
      </c>
      <c r="C77" s="241" t="s">
        <v>350</v>
      </c>
      <c r="D77" s="241" t="s">
        <v>351</v>
      </c>
      <c r="E77" s="343" t="s">
        <v>352</v>
      </c>
      <c r="F77" s="337"/>
      <c r="G77" s="338"/>
      <c r="H77" s="471"/>
      <c r="I77" s="365"/>
      <c r="J77" s="365"/>
    </row>
    <row r="78" spans="1:10" ht="13.5" thickBot="1">
      <c r="A78" s="394"/>
      <c r="B78" s="402" t="e">
        <f>C75/'Primary Sources'!D54/'Primary Sources'!E54*100</f>
        <v>#DIV/0!</v>
      </c>
      <c r="C78" s="344"/>
      <c r="D78" s="344"/>
      <c r="E78" s="345"/>
      <c r="F78" s="337"/>
      <c r="G78" s="338"/>
      <c r="H78" s="471"/>
      <c r="I78" s="365"/>
      <c r="J78" s="365"/>
    </row>
    <row r="79" spans="1:10" ht="13.5" thickBot="1">
      <c r="A79" s="394"/>
      <c r="B79" s="350"/>
      <c r="C79" s="256"/>
      <c r="D79" s="256"/>
      <c r="E79" s="351"/>
      <c r="F79" s="352"/>
      <c r="G79" s="353"/>
      <c r="H79" s="471"/>
      <c r="I79" s="365"/>
      <c r="J79" s="365"/>
    </row>
    <row r="80" spans="1:10" ht="14.25" thickBot="1" thickTop="1">
      <c r="A80" s="378"/>
      <c r="B80" s="378"/>
      <c r="C80" s="365"/>
      <c r="D80" s="365"/>
      <c r="E80" s="387"/>
      <c r="F80" s="387"/>
      <c r="G80" s="387"/>
      <c r="H80" s="368"/>
      <c r="I80" s="365"/>
      <c r="J80" s="365"/>
    </row>
    <row r="81" spans="1:10" ht="21.75" thickBot="1" thickTop="1">
      <c r="A81" s="394"/>
      <c r="B81" s="442" t="s">
        <v>86</v>
      </c>
      <c r="C81" s="467"/>
      <c r="D81" s="465"/>
      <c r="E81" s="462"/>
      <c r="F81" s="462"/>
      <c r="G81" s="377"/>
      <c r="H81" s="377"/>
      <c r="I81" s="365"/>
      <c r="J81" s="365"/>
    </row>
    <row r="82" spans="1:10" ht="13.5" thickBot="1">
      <c r="A82" s="394"/>
      <c r="B82" s="196"/>
      <c r="D82" s="255"/>
      <c r="E82" s="378"/>
      <c r="F82" s="377"/>
      <c r="G82" s="378"/>
      <c r="H82" s="365"/>
      <c r="I82" s="365"/>
      <c r="J82" s="365"/>
    </row>
    <row r="83" spans="1:10" ht="14.25" customHeight="1" thickBot="1">
      <c r="A83" s="394"/>
      <c r="B83" s="104" t="s">
        <v>274</v>
      </c>
      <c r="C83" s="395"/>
      <c r="D83" s="255"/>
      <c r="E83" s="378"/>
      <c r="F83" s="377"/>
      <c r="G83" s="378"/>
      <c r="H83" s="365"/>
      <c r="I83" s="365"/>
      <c r="J83" s="365"/>
    </row>
    <row r="84" spans="1:10" ht="12.75">
      <c r="A84" s="394"/>
      <c r="B84" s="382" t="s">
        <v>297</v>
      </c>
      <c r="C84" s="500"/>
      <c r="D84" s="255"/>
      <c r="E84" s="378"/>
      <c r="F84" s="377"/>
      <c r="G84" s="378"/>
      <c r="H84" s="365"/>
      <c r="I84" s="365"/>
      <c r="J84" s="365"/>
    </row>
    <row r="85" spans="1:256" s="35" customFormat="1" ht="13.5" thickBot="1">
      <c r="A85" s="468"/>
      <c r="B85" s="76"/>
      <c r="C85"/>
      <c r="D85" s="255"/>
      <c r="E85" s="378"/>
      <c r="F85" s="377"/>
      <c r="G85" s="378"/>
      <c r="H85" s="365"/>
      <c r="I85" s="365"/>
      <c r="J85" s="365"/>
      <c r="K85" s="365"/>
      <c r="L85" s="365"/>
      <c r="M85" s="365"/>
      <c r="N85" s="365"/>
      <c r="O85" s="365"/>
      <c r="P85" s="365"/>
      <c r="Q85" s="365"/>
      <c r="R85" s="365"/>
      <c r="S85" s="365"/>
      <c r="T85" s="365"/>
      <c r="U85" s="365"/>
      <c r="V85" s="365"/>
      <c r="W85" s="365"/>
      <c r="X85" s="365"/>
      <c r="Y85" s="365"/>
      <c r="Z85" s="365"/>
      <c r="AA85" s="365"/>
      <c r="AB85" s="365"/>
      <c r="AC85" s="365"/>
      <c r="AD85" s="365"/>
      <c r="AE85" s="365"/>
      <c r="AF85" s="365"/>
      <c r="AG85" s="365"/>
      <c r="AH85" s="365"/>
      <c r="AI85" s="365"/>
      <c r="AJ85" s="365"/>
      <c r="AK85" s="365"/>
      <c r="AL85" s="365"/>
      <c r="AM85" s="365"/>
      <c r="AN85" s="365"/>
      <c r="AO85" s="365"/>
      <c r="AP85" s="365"/>
      <c r="AQ85" s="365"/>
      <c r="AR85" s="365"/>
      <c r="AS85" s="365"/>
      <c r="AT85" s="365"/>
      <c r="AU85" s="365"/>
      <c r="AV85" s="365"/>
      <c r="AW85" s="365"/>
      <c r="AX85" s="365"/>
      <c r="AY85" s="365"/>
      <c r="AZ85" s="365"/>
      <c r="BA85" s="365"/>
      <c r="BB85" s="365"/>
      <c r="BC85" s="365"/>
      <c r="BD85" s="365"/>
      <c r="BE85" s="365"/>
      <c r="BF85" s="365"/>
      <c r="BG85" s="365"/>
      <c r="BH85" s="365"/>
      <c r="BI85" s="365"/>
      <c r="BJ85" s="365"/>
      <c r="BK85" s="365"/>
      <c r="BL85" s="365"/>
      <c r="BM85" s="365"/>
      <c r="BN85" s="365"/>
      <c r="BO85" s="365"/>
      <c r="BP85" s="365"/>
      <c r="BQ85" s="365"/>
      <c r="BR85" s="365"/>
      <c r="BS85" s="365"/>
      <c r="BT85" s="365"/>
      <c r="BU85" s="365"/>
      <c r="BV85" s="365"/>
      <c r="BW85" s="365"/>
      <c r="BX85" s="365"/>
      <c r="BY85" s="365"/>
      <c r="BZ85" s="365"/>
      <c r="CA85" s="365"/>
      <c r="CB85" s="365"/>
      <c r="CC85" s="365"/>
      <c r="CD85" s="365"/>
      <c r="CE85" s="365"/>
      <c r="CF85" s="365"/>
      <c r="CG85" s="365"/>
      <c r="CH85" s="365"/>
      <c r="CI85" s="365"/>
      <c r="CJ85" s="365"/>
      <c r="CK85" s="365"/>
      <c r="CL85" s="365"/>
      <c r="CM85" s="365"/>
      <c r="CN85" s="365"/>
      <c r="CO85" s="365"/>
      <c r="CP85" s="365"/>
      <c r="CQ85" s="365"/>
      <c r="CR85" s="365"/>
      <c r="CS85" s="365"/>
      <c r="CT85" s="365"/>
      <c r="CU85" s="365"/>
      <c r="CV85" s="365"/>
      <c r="CW85" s="365"/>
      <c r="CX85" s="365"/>
      <c r="CY85" s="365"/>
      <c r="CZ85" s="365"/>
      <c r="DA85" s="365"/>
      <c r="DB85" s="365"/>
      <c r="DC85" s="365"/>
      <c r="DD85" s="365"/>
      <c r="DE85" s="365"/>
      <c r="DF85" s="365"/>
      <c r="DG85" s="365"/>
      <c r="DH85" s="365"/>
      <c r="DI85" s="365"/>
      <c r="DJ85" s="365"/>
      <c r="DK85" s="365"/>
      <c r="DL85" s="365"/>
      <c r="DM85" s="365"/>
      <c r="DN85" s="365"/>
      <c r="DO85" s="365"/>
      <c r="DP85" s="365"/>
      <c r="DQ85" s="365"/>
      <c r="DR85" s="365"/>
      <c r="DS85" s="365"/>
      <c r="DT85" s="365"/>
      <c r="DU85" s="365"/>
      <c r="DV85" s="365"/>
      <c r="DW85" s="365"/>
      <c r="DX85" s="365"/>
      <c r="DY85" s="365"/>
      <c r="DZ85" s="365"/>
      <c r="EA85" s="365"/>
      <c r="EB85" s="365"/>
      <c r="EC85" s="365"/>
      <c r="ED85" s="365"/>
      <c r="EE85" s="365"/>
      <c r="EF85" s="365"/>
      <c r="EG85" s="365"/>
      <c r="EH85" s="365"/>
      <c r="EI85" s="365"/>
      <c r="EJ85" s="365"/>
      <c r="EK85" s="365"/>
      <c r="EL85" s="365"/>
      <c r="EM85" s="365"/>
      <c r="EN85" s="365"/>
      <c r="EO85" s="365"/>
      <c r="EP85" s="365"/>
      <c r="EQ85" s="365"/>
      <c r="ER85" s="365"/>
      <c r="ES85" s="365"/>
      <c r="ET85" s="365"/>
      <c r="EU85" s="365"/>
      <c r="EV85" s="365"/>
      <c r="EW85" s="365"/>
      <c r="EX85" s="365"/>
      <c r="EY85" s="365"/>
      <c r="EZ85" s="365"/>
      <c r="FA85" s="365"/>
      <c r="FB85" s="365"/>
      <c r="FC85" s="365"/>
      <c r="FD85" s="365"/>
      <c r="FE85" s="365"/>
      <c r="FF85" s="365"/>
      <c r="FG85" s="365"/>
      <c r="FH85" s="365"/>
      <c r="FI85" s="365"/>
      <c r="FJ85" s="365"/>
      <c r="FK85" s="365"/>
      <c r="FL85" s="365"/>
      <c r="FM85" s="365"/>
      <c r="FN85" s="365"/>
      <c r="FO85" s="365"/>
      <c r="FP85" s="365"/>
      <c r="FQ85" s="365"/>
      <c r="FR85" s="365"/>
      <c r="FS85" s="365"/>
      <c r="FT85" s="365"/>
      <c r="FU85" s="365"/>
      <c r="FV85" s="365"/>
      <c r="FW85" s="365"/>
      <c r="FX85" s="365"/>
      <c r="FY85" s="365"/>
      <c r="FZ85" s="365"/>
      <c r="GA85" s="365"/>
      <c r="GB85" s="365"/>
      <c r="GC85" s="365"/>
      <c r="GD85" s="365"/>
      <c r="GE85" s="365"/>
      <c r="GF85" s="365"/>
      <c r="GG85" s="365"/>
      <c r="GH85" s="365"/>
      <c r="GI85" s="365"/>
      <c r="GJ85" s="365"/>
      <c r="GK85" s="365"/>
      <c r="GL85" s="365"/>
      <c r="GM85" s="365"/>
      <c r="GN85" s="365"/>
      <c r="GO85" s="365"/>
      <c r="GP85" s="365"/>
      <c r="GQ85" s="365"/>
      <c r="GR85" s="365"/>
      <c r="GS85" s="365"/>
      <c r="GT85" s="365"/>
      <c r="GU85" s="365"/>
      <c r="GV85" s="365"/>
      <c r="GW85" s="365"/>
      <c r="GX85" s="365"/>
      <c r="GY85" s="365"/>
      <c r="GZ85" s="365"/>
      <c r="HA85" s="365"/>
      <c r="HB85" s="365"/>
      <c r="HC85" s="365"/>
      <c r="HD85" s="365"/>
      <c r="HE85" s="365"/>
      <c r="HF85" s="365"/>
      <c r="HG85" s="365"/>
      <c r="HH85" s="365"/>
      <c r="HI85" s="365"/>
      <c r="HJ85" s="365"/>
      <c r="HK85" s="365"/>
      <c r="HL85" s="365"/>
      <c r="HM85" s="365"/>
      <c r="HN85" s="365"/>
      <c r="HO85" s="365"/>
      <c r="HP85" s="365"/>
      <c r="HQ85" s="365"/>
      <c r="HR85" s="365"/>
      <c r="HS85" s="365"/>
      <c r="HT85" s="365"/>
      <c r="HU85" s="365"/>
      <c r="HV85" s="365"/>
      <c r="HW85" s="365"/>
      <c r="HX85" s="365"/>
      <c r="HY85" s="36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10" ht="13.5" customHeight="1">
      <c r="A86" s="394"/>
      <c r="B86" s="41"/>
      <c r="C86" s="42" t="s">
        <v>129</v>
      </c>
      <c r="D86" s="43"/>
      <c r="E86" s="378"/>
      <c r="F86" s="377"/>
      <c r="G86" s="378"/>
      <c r="H86" s="365"/>
      <c r="I86" s="365"/>
      <c r="J86" s="365"/>
    </row>
    <row r="87" spans="1:256" ht="12.75">
      <c r="A87" s="394"/>
      <c r="B87" s="78" t="s">
        <v>4</v>
      </c>
      <c r="C87" s="85" t="s">
        <v>5</v>
      </c>
      <c r="D87" s="97" t="s">
        <v>6</v>
      </c>
      <c r="E87" s="378"/>
      <c r="F87" s="377"/>
      <c r="G87" s="378"/>
      <c r="H87" s="365"/>
      <c r="I87" s="365"/>
      <c r="J87" s="365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447"/>
      <c r="AL87" s="447"/>
      <c r="AM87" s="447"/>
      <c r="AN87" s="447"/>
      <c r="AO87" s="447"/>
      <c r="AP87" s="447"/>
      <c r="AQ87" s="447"/>
      <c r="AR87" s="447"/>
      <c r="AS87" s="447"/>
      <c r="AT87" s="447"/>
      <c r="AU87" s="447"/>
      <c r="AV87" s="447"/>
      <c r="AW87" s="447"/>
      <c r="AX87" s="447"/>
      <c r="AY87" s="447"/>
      <c r="AZ87" s="447"/>
      <c r="BA87" s="447"/>
      <c r="BB87" s="447"/>
      <c r="BC87" s="447"/>
      <c r="BD87" s="447"/>
      <c r="BE87" s="447"/>
      <c r="BF87" s="447"/>
      <c r="BG87" s="447"/>
      <c r="BH87" s="447"/>
      <c r="BI87" s="447"/>
      <c r="BJ87" s="447"/>
      <c r="BK87" s="447"/>
      <c r="BL87" s="447"/>
      <c r="BM87" s="447"/>
      <c r="BN87" s="447"/>
      <c r="BO87" s="447"/>
      <c r="BP87" s="447"/>
      <c r="BQ87" s="447"/>
      <c r="BR87" s="447"/>
      <c r="BS87" s="447"/>
      <c r="BT87" s="447"/>
      <c r="BU87" s="447"/>
      <c r="BV87" s="447"/>
      <c r="BW87" s="447"/>
      <c r="BX87" s="447"/>
      <c r="BY87" s="447"/>
      <c r="BZ87" s="447"/>
      <c r="CA87" s="447"/>
      <c r="CB87" s="447"/>
      <c r="CC87" s="447"/>
      <c r="CD87" s="447"/>
      <c r="CE87" s="447"/>
      <c r="CF87" s="447"/>
      <c r="CG87" s="447"/>
      <c r="CH87" s="447"/>
      <c r="CI87" s="447"/>
      <c r="CJ87" s="447"/>
      <c r="CK87" s="447"/>
      <c r="CL87" s="447"/>
      <c r="CM87" s="447"/>
      <c r="CN87" s="447"/>
      <c r="CO87" s="447"/>
      <c r="CP87" s="447"/>
      <c r="CQ87" s="447"/>
      <c r="CR87" s="447"/>
      <c r="CS87" s="447"/>
      <c r="CT87" s="447"/>
      <c r="CU87" s="447"/>
      <c r="CV87" s="447"/>
      <c r="CW87" s="447"/>
      <c r="CX87" s="447"/>
      <c r="CY87" s="447"/>
      <c r="CZ87" s="447"/>
      <c r="DA87" s="447"/>
      <c r="DB87" s="447"/>
      <c r="DC87" s="447"/>
      <c r="DD87" s="447"/>
      <c r="DE87" s="447"/>
      <c r="DF87" s="447"/>
      <c r="DG87" s="447"/>
      <c r="DH87" s="447"/>
      <c r="DI87" s="447"/>
      <c r="DJ87" s="447"/>
      <c r="DK87" s="447"/>
      <c r="DL87" s="447"/>
      <c r="DM87" s="447"/>
      <c r="DN87" s="447"/>
      <c r="DO87" s="447"/>
      <c r="DP87" s="447"/>
      <c r="DQ87" s="447"/>
      <c r="DR87" s="447"/>
      <c r="DS87" s="447"/>
      <c r="DT87" s="447"/>
      <c r="DU87" s="447"/>
      <c r="DV87" s="447"/>
      <c r="DW87" s="447"/>
      <c r="DX87" s="447"/>
      <c r="DY87" s="447"/>
      <c r="DZ87" s="447"/>
      <c r="EA87" s="447"/>
      <c r="EB87" s="447"/>
      <c r="EC87" s="447"/>
      <c r="ED87" s="447"/>
      <c r="EE87" s="447"/>
      <c r="EF87" s="447"/>
      <c r="EG87" s="447"/>
      <c r="EH87" s="447"/>
      <c r="EI87" s="447"/>
      <c r="EJ87" s="447"/>
      <c r="EK87" s="447"/>
      <c r="EL87" s="447"/>
      <c r="EM87" s="447"/>
      <c r="EN87" s="447"/>
      <c r="EO87" s="447"/>
      <c r="EP87" s="447"/>
      <c r="EQ87" s="447"/>
      <c r="ER87" s="447"/>
      <c r="ES87" s="447"/>
      <c r="ET87" s="447"/>
      <c r="EU87" s="447"/>
      <c r="EV87" s="447"/>
      <c r="EW87" s="447"/>
      <c r="EX87" s="447"/>
      <c r="EY87" s="447"/>
      <c r="EZ87" s="447"/>
      <c r="FA87" s="447"/>
      <c r="FB87" s="447"/>
      <c r="FC87" s="447"/>
      <c r="FD87" s="447"/>
      <c r="FE87" s="447"/>
      <c r="FF87" s="447"/>
      <c r="FG87" s="447"/>
      <c r="FH87" s="447"/>
      <c r="FI87" s="447"/>
      <c r="FJ87" s="447"/>
      <c r="FK87" s="447"/>
      <c r="FL87" s="447"/>
      <c r="FM87" s="447"/>
      <c r="FN87" s="447"/>
      <c r="FO87" s="447"/>
      <c r="FP87" s="447"/>
      <c r="FQ87" s="447"/>
      <c r="FR87" s="447"/>
      <c r="FS87" s="447"/>
      <c r="FT87" s="447"/>
      <c r="FU87" s="447"/>
      <c r="FV87" s="447"/>
      <c r="FW87" s="447"/>
      <c r="FX87" s="447"/>
      <c r="FY87" s="447"/>
      <c r="FZ87" s="447"/>
      <c r="GA87" s="447"/>
      <c r="GB87" s="447"/>
      <c r="GC87" s="447"/>
      <c r="GD87" s="447"/>
      <c r="GE87" s="447"/>
      <c r="GF87" s="447"/>
      <c r="GG87" s="447"/>
      <c r="GH87" s="447"/>
      <c r="GI87" s="447"/>
      <c r="GJ87" s="447"/>
      <c r="GK87" s="447"/>
      <c r="GL87" s="447"/>
      <c r="GM87" s="447"/>
      <c r="GN87" s="447"/>
      <c r="GO87" s="447"/>
      <c r="GP87" s="447"/>
      <c r="GQ87" s="447"/>
      <c r="GR87" s="447"/>
      <c r="GS87" s="447"/>
      <c r="GT87" s="447"/>
      <c r="GU87" s="447"/>
      <c r="GV87" s="447"/>
      <c r="GW87" s="447"/>
      <c r="GX87" s="447"/>
      <c r="GY87" s="447"/>
      <c r="GZ87" s="447"/>
      <c r="HA87" s="447"/>
      <c r="HB87" s="447"/>
      <c r="HC87" s="447"/>
      <c r="HD87" s="447"/>
      <c r="HE87" s="447"/>
      <c r="HF87" s="447"/>
      <c r="HG87" s="447"/>
      <c r="HH87" s="447"/>
      <c r="HI87" s="447"/>
      <c r="HJ87" s="447"/>
      <c r="HK87" s="447"/>
      <c r="HL87" s="447"/>
      <c r="HM87" s="447"/>
      <c r="HN87" s="447"/>
      <c r="HO87" s="447"/>
      <c r="HP87" s="447"/>
      <c r="HQ87" s="447"/>
      <c r="HR87" s="447"/>
      <c r="HS87" s="447"/>
      <c r="HT87" s="447"/>
      <c r="HU87" s="447"/>
      <c r="HV87" s="447"/>
      <c r="HW87" s="447"/>
      <c r="HX87" s="447"/>
      <c r="HY87" s="447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35"/>
      <c r="IQ87" s="35"/>
      <c r="IR87" s="35"/>
      <c r="IS87" s="35"/>
      <c r="IT87" s="35"/>
      <c r="IU87" s="35"/>
      <c r="IV87" s="35"/>
    </row>
    <row r="88" spans="1:10" ht="13.5" thickBot="1">
      <c r="A88" s="394"/>
      <c r="B88" s="391">
        <v>0.3</v>
      </c>
      <c r="C88" s="388">
        <v>0.1</v>
      </c>
      <c r="D88" s="389">
        <v>0.7</v>
      </c>
      <c r="E88" s="393"/>
      <c r="F88" s="368"/>
      <c r="G88" s="393"/>
      <c r="H88" s="447"/>
      <c r="I88" s="447"/>
      <c r="J88" s="447"/>
    </row>
    <row r="89" spans="1:10" ht="13.5" thickBot="1">
      <c r="A89" s="394"/>
      <c r="B89" s="499"/>
      <c r="D89" s="383"/>
      <c r="E89" s="342"/>
      <c r="F89" s="342"/>
      <c r="G89" s="368"/>
      <c r="H89" s="378"/>
      <c r="I89" s="365"/>
      <c r="J89" s="365"/>
    </row>
    <row r="90" spans="2:10" ht="12.75">
      <c r="B90" s="41" t="s">
        <v>294</v>
      </c>
      <c r="C90" s="879" t="e">
        <f>C83*C84/'Primary Sources'!D54/'Primary Sources'!E54*100*5280/43560</f>
        <v>#DIV/0!</v>
      </c>
      <c r="D90" s="384"/>
      <c r="E90" s="342"/>
      <c r="F90" s="342"/>
      <c r="G90" s="368"/>
      <c r="H90" s="378"/>
      <c r="I90" s="365"/>
      <c r="J90" s="365"/>
    </row>
    <row r="91" spans="2:10" ht="12.75">
      <c r="B91" s="78" t="s">
        <v>295</v>
      </c>
      <c r="C91" s="354"/>
      <c r="D91" s="385"/>
      <c r="E91" s="342"/>
      <c r="F91" s="342"/>
      <c r="G91" s="368"/>
      <c r="H91" s="378"/>
      <c r="I91" s="365"/>
      <c r="J91" s="365"/>
    </row>
    <row r="92" spans="2:10" ht="13.5" thickBot="1">
      <c r="B92" s="80" t="s">
        <v>296</v>
      </c>
      <c r="C92" s="355"/>
      <c r="D92" s="386"/>
      <c r="E92" s="421"/>
      <c r="F92" s="421"/>
      <c r="G92" s="421"/>
      <c r="H92" s="368"/>
      <c r="I92" s="365"/>
      <c r="J92" s="365"/>
    </row>
    <row r="93" spans="2:10" ht="16.5" customHeight="1" thickBot="1" thickTop="1">
      <c r="B93" s="377"/>
      <c r="C93" s="455"/>
      <c r="D93" s="455"/>
      <c r="E93" s="462"/>
      <c r="F93" s="377"/>
      <c r="G93" s="377"/>
      <c r="H93" s="377"/>
      <c r="I93" s="377"/>
      <c r="J93" s="365"/>
    </row>
    <row r="94" spans="2:10" ht="21.75" thickBot="1" thickTop="1">
      <c r="B94" s="435" t="s">
        <v>139</v>
      </c>
      <c r="C94" s="455"/>
      <c r="D94" s="455"/>
      <c r="E94" s="466"/>
      <c r="F94" s="431"/>
      <c r="G94" s="365"/>
      <c r="H94" s="365"/>
      <c r="I94" s="365"/>
      <c r="J94" s="365"/>
    </row>
    <row r="95" spans="2:256" s="365" customFormat="1" ht="12.75">
      <c r="B95" s="27"/>
      <c r="C95" s="11" t="s">
        <v>158</v>
      </c>
      <c r="D95" s="13" t="s">
        <v>129</v>
      </c>
      <c r="E95" s="12"/>
      <c r="F95" s="431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10" ht="13.5" thickBot="1">
      <c r="B96" s="7"/>
      <c r="C96" s="6" t="s">
        <v>26</v>
      </c>
      <c r="D96" s="177" t="s">
        <v>119</v>
      </c>
      <c r="E96" s="207" t="s">
        <v>6</v>
      </c>
      <c r="F96" s="431"/>
      <c r="G96" s="365"/>
      <c r="H96" s="365"/>
      <c r="I96" s="365"/>
      <c r="J96" s="365"/>
    </row>
    <row r="97" spans="2:256" ht="12.75">
      <c r="B97" s="41" t="s">
        <v>140</v>
      </c>
      <c r="C97" s="206"/>
      <c r="D97" s="118">
        <v>0.15</v>
      </c>
      <c r="E97" s="119">
        <v>0.25</v>
      </c>
      <c r="F97" s="431"/>
      <c r="G97" s="365"/>
      <c r="H97" s="365"/>
      <c r="I97" s="365"/>
      <c r="J97" s="365"/>
      <c r="HZ97" s="365"/>
      <c r="IA97" s="365"/>
      <c r="IB97" s="365"/>
      <c r="IC97" s="365"/>
      <c r="ID97" s="365"/>
      <c r="IE97" s="365"/>
      <c r="IF97" s="365"/>
      <c r="IG97" s="365"/>
      <c r="IH97" s="365"/>
      <c r="II97" s="365"/>
      <c r="IJ97" s="365"/>
      <c r="IK97" s="365"/>
      <c r="IL97" s="365"/>
      <c r="IM97" s="365"/>
      <c r="IN97" s="365"/>
      <c r="IO97" s="365"/>
      <c r="IP97" s="365"/>
      <c r="IQ97" s="365"/>
      <c r="IR97" s="365"/>
      <c r="IS97" s="365"/>
      <c r="IT97" s="365"/>
      <c r="IU97" s="365"/>
      <c r="IV97" s="365"/>
    </row>
    <row r="98" spans="2:256" s="365" customFormat="1" ht="12.75">
      <c r="B98" s="78" t="s">
        <v>141</v>
      </c>
      <c r="C98" s="83"/>
      <c r="D98" s="93">
        <v>0.08</v>
      </c>
      <c r="E98" s="347">
        <v>0.13</v>
      </c>
      <c r="F98" s="36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65" customFormat="1" ht="13.5" thickBot="1">
      <c r="B99" s="282"/>
      <c r="C99" s="283"/>
      <c r="D99" s="366"/>
      <c r="E99" s="367"/>
      <c r="F99" s="368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3.5" thickBot="1">
      <c r="B100" s="169" t="s">
        <v>257</v>
      </c>
      <c r="C100" s="390"/>
      <c r="D100" s="364"/>
      <c r="E100" s="353"/>
      <c r="F100" s="368"/>
      <c r="G100" s="421"/>
      <c r="H100" s="368"/>
      <c r="I100" s="365"/>
      <c r="J100" s="365"/>
      <c r="HZ100" s="365"/>
      <c r="IA100" s="365"/>
      <c r="IB100" s="365"/>
      <c r="IC100" s="365"/>
      <c r="ID100" s="365"/>
      <c r="IE100" s="365"/>
      <c r="IF100" s="365"/>
      <c r="IG100" s="365"/>
      <c r="IH100" s="365"/>
      <c r="II100" s="365"/>
      <c r="IJ100" s="365"/>
      <c r="IK100" s="365"/>
      <c r="IL100" s="365"/>
      <c r="IM100" s="365"/>
      <c r="IN100" s="365"/>
      <c r="IO100" s="365"/>
      <c r="IP100" s="365"/>
      <c r="IQ100" s="365"/>
      <c r="IR100" s="365"/>
      <c r="IS100" s="365"/>
      <c r="IT100" s="365"/>
      <c r="IU100" s="365"/>
      <c r="IV100" s="365"/>
    </row>
    <row r="101" spans="2:256" ht="14.25" thickBot="1" thickTop="1">
      <c r="B101" s="377"/>
      <c r="C101" s="365"/>
      <c r="D101" s="421"/>
      <c r="E101" s="421"/>
      <c r="F101" s="421"/>
      <c r="G101" s="365"/>
      <c r="H101" s="365"/>
      <c r="I101" s="365"/>
      <c r="J101" s="365"/>
      <c r="HZ101" s="365"/>
      <c r="IA101" s="365"/>
      <c r="IB101" s="365"/>
      <c r="IC101" s="365"/>
      <c r="ID101" s="365"/>
      <c r="IE101" s="365"/>
      <c r="IF101" s="365"/>
      <c r="IG101" s="365"/>
      <c r="IH101" s="365"/>
      <c r="II101" s="365"/>
      <c r="IJ101" s="365"/>
      <c r="IK101" s="365"/>
      <c r="IL101" s="365"/>
      <c r="IM101" s="365"/>
      <c r="IN101" s="365"/>
      <c r="IO101" s="365"/>
      <c r="IP101" s="365"/>
      <c r="IQ101" s="365"/>
      <c r="IR101" s="365"/>
      <c r="IS101" s="365"/>
      <c r="IT101" s="365"/>
      <c r="IU101" s="365"/>
      <c r="IV101" s="365"/>
    </row>
    <row r="102" spans="2:10" ht="21.75" thickBot="1" thickTop="1">
      <c r="B102" s="435" t="s">
        <v>142</v>
      </c>
      <c r="C102" s="466"/>
      <c r="D102" s="365"/>
      <c r="E102" s="365"/>
      <c r="F102" s="365"/>
      <c r="G102" s="365"/>
      <c r="H102" s="365"/>
      <c r="I102" s="365"/>
      <c r="J102" s="365"/>
    </row>
    <row r="103" spans="2:10" ht="12.75">
      <c r="B103" s="41"/>
      <c r="C103" s="43"/>
      <c r="D103" s="365"/>
      <c r="E103" s="365"/>
      <c r="F103" s="365"/>
      <c r="G103" s="365"/>
      <c r="H103" s="365"/>
      <c r="I103" s="365"/>
      <c r="J103" s="365"/>
    </row>
    <row r="104" spans="2:256" s="365" customFormat="1" ht="12.75">
      <c r="B104" s="78" t="s">
        <v>143</v>
      </c>
      <c r="C104" s="339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65" customFormat="1" ht="12.75">
      <c r="B105" s="78" t="s">
        <v>144</v>
      </c>
      <c r="C105" s="340">
        <v>160</v>
      </c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5.75" customHeight="1" thickBot="1">
      <c r="B106" s="80" t="s">
        <v>258</v>
      </c>
      <c r="C106" s="75">
        <v>0.9</v>
      </c>
      <c r="D106" s="365"/>
      <c r="E106" s="365"/>
      <c r="F106" s="365"/>
      <c r="G106" s="365"/>
      <c r="H106" s="365"/>
      <c r="I106" s="365"/>
      <c r="J106" s="365"/>
      <c r="HZ106" s="365"/>
      <c r="IA106" s="365"/>
      <c r="IB106" s="365"/>
      <c r="IC106" s="365"/>
      <c r="ID106" s="365"/>
      <c r="IE106" s="365"/>
      <c r="IF106" s="365"/>
      <c r="IG106" s="365"/>
      <c r="IH106" s="365"/>
      <c r="II106" s="365"/>
      <c r="IJ106" s="365"/>
      <c r="IK106" s="365"/>
      <c r="IL106" s="365"/>
      <c r="IM106" s="365"/>
      <c r="IN106" s="365"/>
      <c r="IO106" s="365"/>
      <c r="IP106" s="365"/>
      <c r="IQ106" s="365"/>
      <c r="IR106" s="365"/>
      <c r="IS106" s="365"/>
      <c r="IT106" s="365"/>
      <c r="IU106" s="365"/>
      <c r="IV106" s="365"/>
    </row>
    <row r="107" spans="2:256" ht="15.75" customHeight="1" thickTop="1">
      <c r="B107" s="377"/>
      <c r="C107" s="377"/>
      <c r="D107" s="365"/>
      <c r="E107" s="365"/>
      <c r="F107" s="365"/>
      <c r="G107" s="365"/>
      <c r="H107" s="365"/>
      <c r="I107" s="365"/>
      <c r="J107" s="365"/>
      <c r="HZ107" s="365"/>
      <c r="IA107" s="365"/>
      <c r="IB107" s="365"/>
      <c r="IC107" s="365"/>
      <c r="ID107" s="365"/>
      <c r="IE107" s="365"/>
      <c r="IF107" s="365"/>
      <c r="IG107" s="365"/>
      <c r="IH107" s="365"/>
      <c r="II107" s="365"/>
      <c r="IJ107" s="365"/>
      <c r="IK107" s="365"/>
      <c r="IL107" s="365"/>
      <c r="IM107" s="365"/>
      <c r="IN107" s="365"/>
      <c r="IO107" s="365"/>
      <c r="IP107" s="365"/>
      <c r="IQ107" s="365"/>
      <c r="IR107" s="365"/>
      <c r="IS107" s="365"/>
      <c r="IT107" s="365"/>
      <c r="IU107" s="365"/>
      <c r="IV107" s="365"/>
    </row>
    <row r="108" spans="2:256" ht="15.75" customHeight="1">
      <c r="B108" s="377"/>
      <c r="C108" s="377"/>
      <c r="D108" s="365"/>
      <c r="E108" s="365"/>
      <c r="F108" s="365"/>
      <c r="G108" s="365"/>
      <c r="H108" s="365"/>
      <c r="I108" s="365"/>
      <c r="J108" s="365"/>
      <c r="HZ108" s="365"/>
      <c r="IA108" s="365"/>
      <c r="IB108" s="365"/>
      <c r="IC108" s="365"/>
      <c r="ID108" s="365"/>
      <c r="IE108" s="365"/>
      <c r="IF108" s="365"/>
      <c r="IG108" s="365"/>
      <c r="IH108" s="365"/>
      <c r="II108" s="365"/>
      <c r="IJ108" s="365"/>
      <c r="IK108" s="365"/>
      <c r="IL108" s="365"/>
      <c r="IM108" s="365"/>
      <c r="IN108" s="365"/>
      <c r="IO108" s="365"/>
      <c r="IP108" s="365"/>
      <c r="IQ108" s="365"/>
      <c r="IR108" s="365"/>
      <c r="IS108" s="365"/>
      <c r="IT108" s="365"/>
      <c r="IU108" s="365"/>
      <c r="IV108" s="365"/>
    </row>
    <row r="109" spans="2:256" ht="15.75" customHeight="1" thickBot="1">
      <c r="B109" s="365"/>
      <c r="C109" s="365"/>
      <c r="D109" s="365"/>
      <c r="E109" s="365"/>
      <c r="F109" s="378"/>
      <c r="G109" s="377"/>
      <c r="H109" s="377"/>
      <c r="I109" s="377"/>
      <c r="J109" s="365"/>
      <c r="HZ109" s="365"/>
      <c r="IA109" s="365"/>
      <c r="IB109" s="365"/>
      <c r="IC109" s="365"/>
      <c r="ID109" s="365"/>
      <c r="IE109" s="365"/>
      <c r="IF109" s="365"/>
      <c r="IG109" s="365"/>
      <c r="IH109" s="365"/>
      <c r="II109" s="365"/>
      <c r="IJ109" s="365"/>
      <c r="IK109" s="365"/>
      <c r="IL109" s="365"/>
      <c r="IM109" s="365"/>
      <c r="IN109" s="365"/>
      <c r="IO109" s="365"/>
      <c r="IP109" s="365"/>
      <c r="IQ109" s="365"/>
      <c r="IR109" s="365"/>
      <c r="IS109" s="365"/>
      <c r="IT109" s="365"/>
      <c r="IU109" s="365"/>
      <c r="IV109" s="365"/>
    </row>
    <row r="110" spans="1:256" s="25" customFormat="1" ht="22.5" customHeight="1" thickBot="1" thickTop="1">
      <c r="A110" s="370"/>
      <c r="B110" s="547" t="s">
        <v>362</v>
      </c>
      <c r="C110" s="548"/>
      <c r="D110" s="548"/>
      <c r="E110" s="548"/>
      <c r="F110" s="549"/>
      <c r="G110" s="470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365"/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65"/>
      <c r="CM110" s="365"/>
      <c r="CN110" s="365"/>
      <c r="CO110" s="365"/>
      <c r="CP110" s="365"/>
      <c r="CQ110" s="365"/>
      <c r="CR110" s="365"/>
      <c r="CS110" s="365"/>
      <c r="CT110" s="365"/>
      <c r="CU110" s="365"/>
      <c r="CV110" s="365"/>
      <c r="CW110" s="365"/>
      <c r="CX110" s="365"/>
      <c r="CY110" s="365"/>
      <c r="CZ110" s="365"/>
      <c r="DA110" s="365"/>
      <c r="DB110" s="365"/>
      <c r="DC110" s="365"/>
      <c r="DD110" s="365"/>
      <c r="DE110" s="365"/>
      <c r="DF110" s="365"/>
      <c r="DG110" s="365"/>
      <c r="DH110" s="365"/>
      <c r="DI110" s="365"/>
      <c r="DJ110" s="365"/>
      <c r="DK110" s="365"/>
      <c r="DL110" s="365"/>
      <c r="DM110" s="365"/>
      <c r="DN110" s="365"/>
      <c r="DO110" s="365"/>
      <c r="DP110" s="365"/>
      <c r="DQ110" s="365"/>
      <c r="DR110" s="365"/>
      <c r="DS110" s="365"/>
      <c r="DT110" s="365"/>
      <c r="DU110" s="365"/>
      <c r="DV110" s="365"/>
      <c r="DW110" s="365"/>
      <c r="DX110" s="365"/>
      <c r="DY110" s="365"/>
      <c r="DZ110" s="365"/>
      <c r="EA110" s="365"/>
      <c r="EB110" s="365"/>
      <c r="EC110" s="365"/>
      <c r="ED110" s="365"/>
      <c r="EE110" s="365"/>
      <c r="EF110" s="365"/>
      <c r="EG110" s="365"/>
      <c r="EH110" s="365"/>
      <c r="EI110" s="365"/>
      <c r="EJ110" s="365"/>
      <c r="EK110" s="365"/>
      <c r="EL110" s="365"/>
      <c r="EM110" s="365"/>
      <c r="EN110" s="365"/>
      <c r="EO110" s="365"/>
      <c r="EP110" s="365"/>
      <c r="EQ110" s="365"/>
      <c r="ER110" s="365"/>
      <c r="ES110" s="365"/>
      <c r="ET110" s="365"/>
      <c r="EU110" s="365"/>
      <c r="EV110" s="365"/>
      <c r="EW110" s="365"/>
      <c r="EX110" s="365"/>
      <c r="EY110" s="365"/>
      <c r="EZ110" s="365"/>
      <c r="FA110" s="365"/>
      <c r="FB110" s="365"/>
      <c r="FC110" s="365"/>
      <c r="FD110" s="365"/>
      <c r="FE110" s="365"/>
      <c r="FF110" s="365"/>
      <c r="FG110" s="365"/>
      <c r="FH110" s="365"/>
      <c r="FI110" s="365"/>
      <c r="FJ110" s="365"/>
      <c r="FK110" s="365"/>
      <c r="FL110" s="365"/>
      <c r="FM110" s="365"/>
      <c r="FN110" s="365"/>
      <c r="FO110" s="365"/>
      <c r="FP110" s="365"/>
      <c r="FQ110" s="365"/>
      <c r="FR110" s="365"/>
      <c r="FS110" s="365"/>
      <c r="FT110" s="365"/>
      <c r="FU110" s="365"/>
      <c r="FV110" s="365"/>
      <c r="FW110" s="365"/>
      <c r="FX110" s="365"/>
      <c r="FY110" s="365"/>
      <c r="FZ110" s="365"/>
      <c r="GA110" s="365"/>
      <c r="GB110" s="365"/>
      <c r="GC110" s="365"/>
      <c r="GD110" s="365"/>
      <c r="GE110" s="365"/>
      <c r="GF110" s="365"/>
      <c r="GG110" s="365"/>
      <c r="GH110" s="365"/>
      <c r="GI110" s="365"/>
      <c r="GJ110" s="365"/>
      <c r="GK110" s="365"/>
      <c r="GL110" s="365"/>
      <c r="GM110" s="365"/>
      <c r="GN110" s="365"/>
      <c r="GO110" s="365"/>
      <c r="GP110" s="365"/>
      <c r="GQ110" s="365"/>
      <c r="GR110" s="365"/>
      <c r="GS110" s="365"/>
      <c r="GT110" s="365"/>
      <c r="GU110" s="365"/>
      <c r="GV110" s="365"/>
      <c r="GW110" s="365"/>
      <c r="GX110" s="365"/>
      <c r="GY110" s="365"/>
      <c r="GZ110" s="365"/>
      <c r="HA110" s="365"/>
      <c r="HB110" s="365"/>
      <c r="HC110" s="365"/>
      <c r="HD110" s="365"/>
      <c r="HE110" s="365"/>
      <c r="HF110" s="365"/>
      <c r="HG110" s="365"/>
      <c r="HH110" s="365"/>
      <c r="HI110" s="365"/>
      <c r="HJ110" s="365"/>
      <c r="HK110" s="365"/>
      <c r="HL110" s="365"/>
      <c r="HM110" s="365"/>
      <c r="HN110" s="365"/>
      <c r="HO110" s="365"/>
      <c r="HP110" s="365"/>
      <c r="HQ110" s="365"/>
      <c r="HR110" s="365"/>
      <c r="HS110" s="365"/>
      <c r="HT110" s="365"/>
      <c r="HU110" s="365"/>
      <c r="HV110" s="365"/>
      <c r="HW110" s="365"/>
      <c r="HX110" s="365"/>
      <c r="HY110" s="365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0" ht="21" customHeight="1" thickBot="1">
      <c r="B111" s="550"/>
      <c r="C111" s="551" t="s">
        <v>157</v>
      </c>
      <c r="D111" s="551" t="s">
        <v>156</v>
      </c>
      <c r="E111" s="551" t="s">
        <v>155</v>
      </c>
      <c r="F111" s="552" t="s">
        <v>154</v>
      </c>
      <c r="G111" s="470"/>
      <c r="H111" s="365"/>
      <c r="I111" s="365"/>
      <c r="J111" s="365"/>
    </row>
    <row r="112" spans="2:256" ht="18" customHeight="1">
      <c r="B112" s="553" t="s">
        <v>104</v>
      </c>
      <c r="C112" s="554">
        <f>IF($C7="Y",$C8*E8*E9*E10,0)</f>
        <v>0</v>
      </c>
      <c r="D112" s="555">
        <f>IF($C7="Y",$C8*F8*F9*F10,0)</f>
        <v>0</v>
      </c>
      <c r="E112" s="556">
        <v>0</v>
      </c>
      <c r="F112" s="557">
        <v>0</v>
      </c>
      <c r="G112" s="470"/>
      <c r="H112" s="365"/>
      <c r="I112" s="365"/>
      <c r="J112" s="365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  <c r="AO112" s="370"/>
      <c r="AP112" s="370"/>
      <c r="AQ112" s="370"/>
      <c r="AR112" s="370"/>
      <c r="AS112" s="370"/>
      <c r="AT112" s="370"/>
      <c r="AU112" s="370"/>
      <c r="AV112" s="370"/>
      <c r="AW112" s="370"/>
      <c r="AX112" s="370"/>
      <c r="AY112" s="370"/>
      <c r="AZ112" s="370"/>
      <c r="BA112" s="370"/>
      <c r="BB112" s="370"/>
      <c r="BC112" s="370"/>
      <c r="BD112" s="370"/>
      <c r="BE112" s="370"/>
      <c r="BF112" s="370"/>
      <c r="BG112" s="370"/>
      <c r="BH112" s="370"/>
      <c r="BI112" s="370"/>
      <c r="BJ112" s="370"/>
      <c r="BK112" s="370"/>
      <c r="BL112" s="370"/>
      <c r="BM112" s="370"/>
      <c r="BN112" s="370"/>
      <c r="BO112" s="370"/>
      <c r="BP112" s="370"/>
      <c r="BQ112" s="370"/>
      <c r="BR112" s="370"/>
      <c r="BS112" s="370"/>
      <c r="BT112" s="370"/>
      <c r="BU112" s="370"/>
      <c r="BV112" s="370"/>
      <c r="BW112" s="370"/>
      <c r="BX112" s="370"/>
      <c r="BY112" s="370"/>
      <c r="BZ112" s="370"/>
      <c r="CA112" s="370"/>
      <c r="CB112" s="370"/>
      <c r="CC112" s="370"/>
      <c r="CD112" s="370"/>
      <c r="CE112" s="370"/>
      <c r="CF112" s="370"/>
      <c r="CG112" s="370"/>
      <c r="CH112" s="370"/>
      <c r="CI112" s="370"/>
      <c r="CJ112" s="370"/>
      <c r="CK112" s="370"/>
      <c r="CL112" s="370"/>
      <c r="CM112" s="370"/>
      <c r="CN112" s="370"/>
      <c r="CO112" s="370"/>
      <c r="CP112" s="370"/>
      <c r="CQ112" s="370"/>
      <c r="CR112" s="370"/>
      <c r="CS112" s="370"/>
      <c r="CT112" s="370"/>
      <c r="CU112" s="370"/>
      <c r="CV112" s="370"/>
      <c r="CW112" s="370"/>
      <c r="CX112" s="370"/>
      <c r="CY112" s="370"/>
      <c r="CZ112" s="370"/>
      <c r="DA112" s="370"/>
      <c r="DB112" s="370"/>
      <c r="DC112" s="370"/>
      <c r="DD112" s="370"/>
      <c r="DE112" s="370"/>
      <c r="DF112" s="370"/>
      <c r="DG112" s="370"/>
      <c r="DH112" s="370"/>
      <c r="DI112" s="370"/>
      <c r="DJ112" s="370"/>
      <c r="DK112" s="370"/>
      <c r="DL112" s="370"/>
      <c r="DM112" s="370"/>
      <c r="DN112" s="370"/>
      <c r="DO112" s="370"/>
      <c r="DP112" s="370"/>
      <c r="DQ112" s="370"/>
      <c r="DR112" s="370"/>
      <c r="DS112" s="370"/>
      <c r="DT112" s="370"/>
      <c r="DU112" s="370"/>
      <c r="DV112" s="370"/>
      <c r="DW112" s="370"/>
      <c r="DX112" s="370"/>
      <c r="DY112" s="370"/>
      <c r="DZ112" s="370"/>
      <c r="EA112" s="370"/>
      <c r="EB112" s="370"/>
      <c r="EC112" s="370"/>
      <c r="ED112" s="370"/>
      <c r="EE112" s="370"/>
      <c r="EF112" s="370"/>
      <c r="EG112" s="370"/>
      <c r="EH112" s="370"/>
      <c r="EI112" s="370"/>
      <c r="EJ112" s="370"/>
      <c r="EK112" s="370"/>
      <c r="EL112" s="370"/>
      <c r="EM112" s="370"/>
      <c r="EN112" s="370"/>
      <c r="EO112" s="370"/>
      <c r="EP112" s="370"/>
      <c r="EQ112" s="370"/>
      <c r="ER112" s="370"/>
      <c r="ES112" s="370"/>
      <c r="ET112" s="370"/>
      <c r="EU112" s="370"/>
      <c r="EV112" s="370"/>
      <c r="EW112" s="370"/>
      <c r="EX112" s="370"/>
      <c r="EY112" s="370"/>
      <c r="EZ112" s="370"/>
      <c r="FA112" s="370"/>
      <c r="FB112" s="370"/>
      <c r="FC112" s="370"/>
      <c r="FD112" s="370"/>
      <c r="FE112" s="370"/>
      <c r="FF112" s="370"/>
      <c r="FG112" s="370"/>
      <c r="FH112" s="370"/>
      <c r="FI112" s="370"/>
      <c r="FJ112" s="370"/>
      <c r="FK112" s="370"/>
      <c r="FL112" s="370"/>
      <c r="FM112" s="370"/>
      <c r="FN112" s="370"/>
      <c r="FO112" s="370"/>
      <c r="FP112" s="370"/>
      <c r="FQ112" s="370"/>
      <c r="FR112" s="370"/>
      <c r="FS112" s="370"/>
      <c r="FT112" s="370"/>
      <c r="FU112" s="370"/>
      <c r="FV112" s="370"/>
      <c r="FW112" s="370"/>
      <c r="FX112" s="370"/>
      <c r="FY112" s="370"/>
      <c r="FZ112" s="370"/>
      <c r="GA112" s="370"/>
      <c r="GB112" s="370"/>
      <c r="GC112" s="370"/>
      <c r="GD112" s="370"/>
      <c r="GE112" s="370"/>
      <c r="GF112" s="370"/>
      <c r="GG112" s="370"/>
      <c r="GH112" s="370"/>
      <c r="GI112" s="370"/>
      <c r="GJ112" s="370"/>
      <c r="GK112" s="370"/>
      <c r="GL112" s="370"/>
      <c r="GM112" s="370"/>
      <c r="GN112" s="370"/>
      <c r="GO112" s="370"/>
      <c r="GP112" s="370"/>
      <c r="GQ112" s="370"/>
      <c r="GR112" s="370"/>
      <c r="GS112" s="370"/>
      <c r="GT112" s="370"/>
      <c r="GU112" s="370"/>
      <c r="GV112" s="370"/>
      <c r="GW112" s="370"/>
      <c r="GX112" s="370"/>
      <c r="GY112" s="370"/>
      <c r="GZ112" s="370"/>
      <c r="HA112" s="370"/>
      <c r="HB112" s="370"/>
      <c r="HC112" s="370"/>
      <c r="HD112" s="370"/>
      <c r="HE112" s="370"/>
      <c r="HF112" s="370"/>
      <c r="HG112" s="370"/>
      <c r="HH112" s="370"/>
      <c r="HI112" s="370"/>
      <c r="HJ112" s="370"/>
      <c r="HK112" s="370"/>
      <c r="HL112" s="370"/>
      <c r="HM112" s="370"/>
      <c r="HN112" s="370"/>
      <c r="HO112" s="370"/>
      <c r="HP112" s="370"/>
      <c r="HQ112" s="370"/>
      <c r="HR112" s="370"/>
      <c r="HS112" s="370"/>
      <c r="HT112" s="370"/>
      <c r="HU112" s="370"/>
      <c r="HV112" s="370"/>
      <c r="HW112" s="370"/>
      <c r="HX112" s="370"/>
      <c r="HY112" s="370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  <c r="IO112" s="25"/>
      <c r="IP112" s="25"/>
      <c r="IQ112" s="25"/>
      <c r="IR112" s="25"/>
      <c r="IS112" s="25"/>
      <c r="IT112" s="25"/>
      <c r="IU112" s="25"/>
      <c r="IV112" s="25"/>
    </row>
    <row r="113" spans="2:10" ht="17.25" customHeight="1">
      <c r="B113" s="558" t="s">
        <v>105</v>
      </c>
      <c r="C113" s="559">
        <f>IF($C20="y",$C23*'Secondary Sources'!$C3*$E23*$E24*E25,0)*365</f>
        <v>0</v>
      </c>
      <c r="D113" s="560">
        <f>IF($C20="y",$C23*'Secondary Sources'!$C3*$E23*$E26*E27,0)*365</f>
        <v>0</v>
      </c>
      <c r="E113" s="561">
        <v>0</v>
      </c>
      <c r="F113" s="562">
        <f>IF($C20="y",$C23*'Secondary Sources'!$C3*$E23*$E28*E29,0)*365</f>
        <v>0</v>
      </c>
      <c r="G113" s="431"/>
      <c r="H113" s="368"/>
      <c r="I113" s="370"/>
      <c r="J113" s="370"/>
    </row>
    <row r="114" spans="2:10" ht="17.25" customHeight="1">
      <c r="B114" s="558" t="s">
        <v>114</v>
      </c>
      <c r="C114" s="559">
        <f>$E114*'Secondary Sources'!$C14*'Secondary Sources'!$D14</f>
        <v>0</v>
      </c>
      <c r="D114" s="560">
        <f>$E114*'Secondary Sources'!$C13*'Secondary Sources'!$D13</f>
        <v>0</v>
      </c>
      <c r="E114" s="560">
        <f>'Secondary Sources'!E$114*C37</f>
        <v>0</v>
      </c>
      <c r="F114" s="562">
        <v>0</v>
      </c>
      <c r="G114" s="470"/>
      <c r="H114" s="365"/>
      <c r="I114" s="365"/>
      <c r="J114" s="365"/>
    </row>
    <row r="115" spans="2:10" ht="15.75" customHeight="1">
      <c r="B115" s="558" t="s">
        <v>84</v>
      </c>
      <c r="C115" s="559">
        <f>SUMPRODUCT($C46:$C48,$F46:$F48)*SUM('Primary Sources'!N11:N20)/MAX(SUMPRODUCT('Primary Sources'!$E11:$E20,'Primary Sources'!$D11:$D20),1)*100+SUMPRODUCT($D46:$D48,$H46:$H48)*SUM('Primary Sources'!N21:N35)/MAX(SUMPRODUCT('Primary Sources'!$E21:$E35,'Primary Sources'!$D21:$D35),1)*100+SUMPRODUCT($E46:$E48,$H46:$H48)*(SUM('Primary Sources'!N21:N25)+SUM('Primary Sources'!N31:N35))/MAX((SUMPRODUCT('Primary Sources'!$E21:$E25,'Primary Sources'!$D21:$D25)+SUMPRODUCT('Primary Sources'!$E31:$E35,'Primary Sources'!$D31:$D35)),1)*100</f>
        <v>0</v>
      </c>
      <c r="D115" s="560">
        <f>SUMPRODUCT($C46:$C48,$F46:$F48)*SUM('Primary Sources'!O11:O20)/MAX(SUMPRODUCT('Primary Sources'!$E11:$E20,'Primary Sources'!$D11:$D20),1)*100+SUMPRODUCT($D46:$D48,$H46:$H48)*SUM('Primary Sources'!O21:O35)/MAX(SUMPRODUCT('Primary Sources'!$E21:$E35,'Primary Sources'!$D21:$D35),1)*100+SUMPRODUCT($E46:$E48,$H46:$H48)*(SUM('Primary Sources'!O21:O25)+SUM('Primary Sources'!O31:O35))/MAX((SUMPRODUCT('Primary Sources'!$E21:$E25,'Primary Sources'!$D21:$D25)+SUMPRODUCT('Primary Sources'!$E31:$E35,'Primary Sources'!$D31:$D35)),1)*100</f>
        <v>0</v>
      </c>
      <c r="E115" s="559">
        <f>SUMPRODUCT($C46:$C48,$G46:$G48)*SUM('Primary Sources'!P11:P20)/MAX(SUMPRODUCT('Primary Sources'!$E11:$E20,'Primary Sources'!$D11:$D20),1)*100+SUMPRODUCT($D46:$D48,$I46:$I48)*SUM('Primary Sources'!P21:P35)/MAX(SUMPRODUCT('Primary Sources'!$E21:$E35,'Primary Sources'!$D21:$D35),1)*100+SUMPRODUCT($E46:$E48,$I46:$I48)*(SUM('Primary Sources'!P21:P25)+SUM('Primary Sources'!P31:P35))/MAX((SUMPRODUCT('Primary Sources'!$E21:$E25,'Primary Sources'!$D21:$D25)+SUMPRODUCT('Primary Sources'!$E31:$E35,'Primary Sources'!$D31:$D35)),1)*100</f>
        <v>0</v>
      </c>
      <c r="F115" s="562"/>
      <c r="G115" s="470"/>
      <c r="H115" s="365"/>
      <c r="I115" s="365"/>
      <c r="J115" s="365"/>
    </row>
    <row r="116" spans="2:10" ht="18" customHeight="1">
      <c r="B116" s="558" t="s">
        <v>219</v>
      </c>
      <c r="C116" s="559"/>
      <c r="D116" s="560"/>
      <c r="E116" s="560" t="e">
        <f>'Secondary Sources'!E122*SUM(C46:E49)/(C50+D50+E50)</f>
        <v>#DIV/0!</v>
      </c>
      <c r="F116" s="562"/>
      <c r="G116" s="470"/>
      <c r="H116" s="365"/>
      <c r="I116" s="365"/>
      <c r="J116" s="365"/>
    </row>
    <row r="117" spans="2:10" ht="21" customHeight="1">
      <c r="B117" s="563" t="s">
        <v>237</v>
      </c>
      <c r="C117" s="559">
        <f>$C$56*$C$57/MAX(SUMPRODUCT('Primary Sources'!$D$11:$D$20,'Primary Sources'!$E$11:$E$20),1)*100*SUM('Primary Sources'!N$11:N$20)/43560</f>
        <v>0</v>
      </c>
      <c r="D117" s="560">
        <f>$C$56*$C$57/MAX(SUMPRODUCT('Primary Sources'!$D$11:$D$20,'Primary Sources'!$E$11:$E$20),1)*100*SUM('Primary Sources'!O$11:O$20)/43560</f>
        <v>0</v>
      </c>
      <c r="E117" s="559">
        <f>$C$56*$C$57/MAX(SUMPRODUCT('Primary Sources'!$D$11:$D$20,'Primary Sources'!$E$11:$E$20),1)*100*SUM('Primary Sources'!P$11:P$20)/43560</f>
        <v>0</v>
      </c>
      <c r="F117" s="979">
        <f>$C$56*$C$57/MAX(SUMPRODUCT('Primary Sources'!$D$11:$D$20,'Primary Sources'!$E$11:$E$20),1)*100*SUM('Primary Sources'!Q$11:Q$20)/43560</f>
        <v>0</v>
      </c>
      <c r="G117" s="470"/>
      <c r="H117" s="365"/>
      <c r="I117" s="365"/>
      <c r="J117" s="365"/>
    </row>
    <row r="118" spans="2:10" ht="15.75" customHeight="1">
      <c r="B118" s="563" t="s">
        <v>238</v>
      </c>
      <c r="C118" s="559">
        <f>$C$62/MAX(SUMPRODUCT('Primary Sources'!$D21:$D25,'Primary Sources'!$E21:$E25),1)*100*SUM('Primary Sources'!N21:N25)</f>
        <v>0</v>
      </c>
      <c r="D118" s="560">
        <f>$C$62/MAX(SUMPRODUCT('Primary Sources'!$D21:$D25,'Primary Sources'!$E21:$E25),1)*100*SUM('Primary Sources'!O21:O25)</f>
        <v>0</v>
      </c>
      <c r="E118" s="559">
        <f>$C$62/MAX(SUMPRODUCT('Primary Sources'!$D21:$D25,'Primary Sources'!$E21:$E25),1)*100*SUM('Primary Sources'!P21:P25)</f>
        <v>0</v>
      </c>
      <c r="F118" s="979">
        <f>$C$62/MAX(SUMPRODUCT('Primary Sources'!$D21:$D25,'Primary Sources'!$E21:$E25),1)*100*SUM('Primary Sources'!Q21:Q25)</f>
        <v>0</v>
      </c>
      <c r="G118" s="470"/>
      <c r="H118" s="365"/>
      <c r="I118" s="365"/>
      <c r="J118" s="365"/>
    </row>
    <row r="119" spans="2:10" ht="24" customHeight="1">
      <c r="B119" s="558" t="s">
        <v>127</v>
      </c>
      <c r="C119" s="559" t="e">
        <f>IF($C$75&gt;'Primary Sources'!$D$54*'Primary Sources'!$E$54/100,"Exceeds Total Drainage",D$75*(SUM('Primary Sources'!N$11:N$35)+'Secondary Sources'!C124))</f>
        <v>#DIV/0!</v>
      </c>
      <c r="D119" s="560" t="e">
        <f>IF($C$75&gt;'Primary Sources'!$D$54*'Primary Sources'!$E$54/100,"Exceeds Total Drainage",E$75*(SUM('Primary Sources'!O$11:O$35)+'Secondary Sources'!D124))</f>
        <v>#DIV/0!</v>
      </c>
      <c r="E119" s="560" t="e">
        <f>IF($C$75&gt;'Primary Sources'!$D$54*'Primary Sources'!$E$54/100,"Exceeds Total Drainage",F$75*(SUM('Primary Sources'!P$11:P$35)+'Secondary Sources'!E124))</f>
        <v>#DIV/0!</v>
      </c>
      <c r="F119" s="562" t="e">
        <f>IF($C$75&gt;'Primary Sources'!$D$54*'Primary Sources'!$E$54/100,"Exceeds Total Drainage",G$75*(SUM('Primary Sources'!Q$11:Q$35)+'Secondary Sources'!F124))</f>
        <v>#DIV/0!</v>
      </c>
      <c r="G119" s="470"/>
      <c r="H119" s="365"/>
      <c r="I119" s="365"/>
      <c r="J119" s="365"/>
    </row>
    <row r="120" spans="2:10" ht="18.75" customHeight="1">
      <c r="B120" s="558" t="s">
        <v>86</v>
      </c>
      <c r="C120" s="559">
        <f>B88*(SUM('Primary Sources'!N11:N35)+'Secondary Sources'!C124)</f>
        <v>0</v>
      </c>
      <c r="D120" s="560">
        <f>C88*(SUM('Primary Sources'!O11:O35)+'Secondary Sources'!D124)</f>
        <v>0</v>
      </c>
      <c r="E120" s="560">
        <f>D88*(SUM('Primary Sources'!P11:P35)+'Secondary Sources'!E124)</f>
        <v>0</v>
      </c>
      <c r="F120" s="562"/>
      <c r="G120" s="365"/>
      <c r="H120" s="365"/>
      <c r="I120" s="365"/>
      <c r="J120" s="365"/>
    </row>
    <row r="121" spans="2:10" ht="14.25" customHeight="1">
      <c r="B121" s="558" t="s">
        <v>139</v>
      </c>
      <c r="C121" s="559">
        <f>'Existing Management Practices'!$D97*(SUM('Primary Sources'!N11:N35)+'Secondary Sources'!C124)</f>
        <v>0</v>
      </c>
      <c r="D121" s="560">
        <f>'Existing Management Practices'!$D97*(SUM('Primary Sources'!O11:O35)+'Secondary Sources'!D124)</f>
        <v>0</v>
      </c>
      <c r="E121" s="560">
        <f>'Existing Management Practices'!$E97*(SUM('Primary Sources'!P11:P35)+'Secondary Sources'!E124)</f>
        <v>0</v>
      </c>
      <c r="F121" s="562"/>
      <c r="G121" s="365"/>
      <c r="H121" s="365"/>
      <c r="I121" s="365"/>
      <c r="J121" s="365"/>
    </row>
    <row r="122" spans="2:10" ht="30" customHeight="1" thickBot="1">
      <c r="B122" s="564" t="s">
        <v>142</v>
      </c>
      <c r="C122" s="565">
        <f>IF($C104&gt;0,'Secondary Sources'!C121,0)</f>
        <v>0</v>
      </c>
      <c r="D122" s="566">
        <f>IF($C104&gt;0,'Secondary Sources'!D121,0)</f>
        <v>0</v>
      </c>
      <c r="E122" s="566">
        <f>IF($C104&gt;0,'Secondary Sources'!E121,0)</f>
        <v>0</v>
      </c>
      <c r="F122" s="567">
        <f>IF($C104&gt;0,'Secondary Sources'!F121,0)</f>
        <v>0</v>
      </c>
      <c r="G122" s="470"/>
      <c r="H122" s="365"/>
      <c r="I122" s="365"/>
      <c r="J122" s="365"/>
    </row>
    <row r="123" spans="2:10" ht="33" customHeight="1" thickBot="1">
      <c r="B123" s="568" t="s">
        <v>176</v>
      </c>
      <c r="C123" s="569" t="e">
        <f>SUM(C112:C122)</f>
        <v>#DIV/0!</v>
      </c>
      <c r="D123" s="570" t="e">
        <f>SUM(D112:D122)</f>
        <v>#DIV/0!</v>
      </c>
      <c r="E123" s="570" t="e">
        <f>SUM(E112:E122)</f>
        <v>#DIV/0!</v>
      </c>
      <c r="F123" s="571" t="e">
        <f>SUM(F112:F122)</f>
        <v>#DIV/0!</v>
      </c>
      <c r="G123" s="365"/>
      <c r="H123" s="365"/>
      <c r="I123" s="365"/>
      <c r="J123" s="365"/>
    </row>
    <row r="124" spans="2:10" ht="21" customHeight="1" thickTop="1">
      <c r="B124" s="365"/>
      <c r="C124" s="469"/>
      <c r="D124" s="469"/>
      <c r="E124" s="469"/>
      <c r="F124" s="469"/>
      <c r="G124" s="365"/>
      <c r="H124" s="365"/>
      <c r="I124" s="365"/>
      <c r="J124" s="365"/>
    </row>
    <row r="125" spans="2:10" ht="27" customHeight="1">
      <c r="B125" s="365"/>
      <c r="C125" s="365"/>
      <c r="D125" s="469"/>
      <c r="E125" s="469"/>
      <c r="F125" s="469"/>
      <c r="G125" s="365"/>
      <c r="H125" s="365"/>
      <c r="I125" s="365"/>
      <c r="J125" s="365"/>
    </row>
    <row r="126" spans="3:10" ht="13.5" thickBot="1">
      <c r="C126" s="365"/>
      <c r="D126" s="365"/>
      <c r="G126" s="365"/>
      <c r="H126" s="365"/>
      <c r="I126" s="365"/>
      <c r="J126" s="365"/>
    </row>
    <row r="127" spans="2:10" ht="21.75" thickBot="1" thickTop="1">
      <c r="B127" s="595" t="s">
        <v>363</v>
      </c>
      <c r="C127" s="596"/>
      <c r="D127" s="596"/>
      <c r="E127" s="596"/>
      <c r="F127" s="597"/>
      <c r="G127" s="365"/>
      <c r="H127" s="365"/>
      <c r="I127" s="365"/>
      <c r="J127" s="365"/>
    </row>
    <row r="128" spans="2:10" ht="12.75">
      <c r="B128" s="598"/>
      <c r="C128" s="599" t="s">
        <v>157</v>
      </c>
      <c r="D128" s="599" t="s">
        <v>156</v>
      </c>
      <c r="E128" s="599" t="s">
        <v>155</v>
      </c>
      <c r="F128" s="600" t="s">
        <v>154</v>
      </c>
      <c r="G128" s="365"/>
      <c r="H128" s="365"/>
      <c r="I128" s="365"/>
      <c r="J128" s="365"/>
    </row>
    <row r="129" spans="2:10" ht="12.75">
      <c r="B129" s="601" t="s">
        <v>104</v>
      </c>
      <c r="C129" s="602">
        <f>'Discounts - Existing'!C20</f>
        <v>0</v>
      </c>
      <c r="D129" s="602">
        <f>'Discounts - Existing'!D20</f>
        <v>0</v>
      </c>
      <c r="E129" s="602">
        <f>'Discounts - Existing'!E20</f>
        <v>0</v>
      </c>
      <c r="F129" s="603">
        <f>'Discounts - Existing'!F20</f>
        <v>0</v>
      </c>
      <c r="G129" s="365"/>
      <c r="H129" s="365"/>
      <c r="I129" s="365"/>
      <c r="J129" s="365"/>
    </row>
    <row r="130" spans="2:10" ht="12.75">
      <c r="B130" s="601" t="s">
        <v>105</v>
      </c>
      <c r="C130" s="602">
        <f>'Discounts - Existing'!C21</f>
        <v>0</v>
      </c>
      <c r="D130" s="602">
        <f>'Discounts - Existing'!D21</f>
        <v>0</v>
      </c>
      <c r="E130" s="602">
        <f>'Discounts - Existing'!E21</f>
        <v>0</v>
      </c>
      <c r="F130" s="603">
        <f>'Discounts - Existing'!F21</f>
        <v>0</v>
      </c>
      <c r="G130" s="365"/>
      <c r="H130" s="365"/>
      <c r="I130" s="365"/>
      <c r="J130" s="365"/>
    </row>
    <row r="131" spans="2:10" ht="12.75">
      <c r="B131" s="601" t="s">
        <v>114</v>
      </c>
      <c r="C131" s="602">
        <f>'Discounts - Existing'!C22</f>
        <v>0</v>
      </c>
      <c r="D131" s="602">
        <f>'Discounts - Existing'!D22</f>
        <v>0</v>
      </c>
      <c r="E131" s="602">
        <f>'Discounts - Existing'!E22</f>
        <v>0</v>
      </c>
      <c r="F131" s="603">
        <f>'Discounts - Existing'!F22</f>
        <v>0</v>
      </c>
      <c r="G131" s="365"/>
      <c r="H131" s="365"/>
      <c r="I131" s="365"/>
      <c r="J131" s="365"/>
    </row>
    <row r="132" spans="2:10" ht="12.75">
      <c r="B132" s="601" t="s">
        <v>84</v>
      </c>
      <c r="C132" s="602">
        <f>'Discounts - Existing'!C23</f>
        <v>0</v>
      </c>
      <c r="D132" s="602">
        <f>'Discounts - Existing'!D23</f>
        <v>0</v>
      </c>
      <c r="E132" s="602">
        <f>'Discounts - Existing'!E23</f>
        <v>0</v>
      </c>
      <c r="F132" s="603">
        <f>'Discounts - Existing'!F23</f>
        <v>0</v>
      </c>
      <c r="G132" s="365"/>
      <c r="H132" s="365"/>
      <c r="I132" s="365"/>
      <c r="J132" s="365"/>
    </row>
    <row r="133" spans="2:10" ht="12.75">
      <c r="B133" s="601" t="s">
        <v>220</v>
      </c>
      <c r="C133" s="602">
        <f>'Discounts - Existing'!C24</f>
        <v>0</v>
      </c>
      <c r="D133" s="602">
        <f>'Discounts - Existing'!D24</f>
        <v>0</v>
      </c>
      <c r="E133" s="602" t="e">
        <f>'Discounts - Existing'!E24</f>
        <v>#DIV/0!</v>
      </c>
      <c r="F133" s="603">
        <f>'Discounts - Existing'!F24</f>
        <v>0</v>
      </c>
      <c r="G133" s="365"/>
      <c r="H133" s="365"/>
      <c r="I133" s="365"/>
      <c r="J133" s="365"/>
    </row>
    <row r="134" spans="2:10" ht="12.75">
      <c r="B134" s="601" t="s">
        <v>85</v>
      </c>
      <c r="C134" s="602">
        <f>'Discounts - Existing'!C25</f>
        <v>0</v>
      </c>
      <c r="D134" s="602">
        <f>'Discounts - Existing'!D25</f>
        <v>0</v>
      </c>
      <c r="E134" s="602">
        <f>'Discounts - Existing'!E25</f>
        <v>0</v>
      </c>
      <c r="F134" s="603">
        <f>'Discounts - Existing'!F25</f>
        <v>0</v>
      </c>
      <c r="G134" s="365"/>
      <c r="H134" s="365"/>
      <c r="I134" s="365"/>
      <c r="J134" s="365"/>
    </row>
    <row r="135" spans="2:10" ht="12.75">
      <c r="B135" s="601" t="s">
        <v>127</v>
      </c>
      <c r="C135" s="602" t="e">
        <f>'Discounts - Existing'!C26</f>
        <v>#DIV/0!</v>
      </c>
      <c r="D135" s="602" t="e">
        <f>'Discounts - Existing'!D26</f>
        <v>#DIV/0!</v>
      </c>
      <c r="E135" s="602" t="e">
        <f>'Discounts - Existing'!E26</f>
        <v>#DIV/0!</v>
      </c>
      <c r="F135" s="603" t="e">
        <f>'Discounts - Existing'!F26</f>
        <v>#DIV/0!</v>
      </c>
      <c r="G135" s="365"/>
      <c r="H135" s="365"/>
      <c r="I135" s="365"/>
      <c r="J135" s="365"/>
    </row>
    <row r="136" spans="2:10" ht="12.75">
      <c r="B136" s="601" t="s">
        <v>86</v>
      </c>
      <c r="C136" s="602" t="e">
        <f>'Discounts - Existing'!C27</f>
        <v>#DIV/0!</v>
      </c>
      <c r="D136" s="602" t="e">
        <f>'Discounts - Existing'!D27</f>
        <v>#DIV/0!</v>
      </c>
      <c r="E136" s="602" t="e">
        <f>'Discounts - Existing'!E27</f>
        <v>#DIV/0!</v>
      </c>
      <c r="F136" s="603" t="e">
        <f>'Discounts - Existing'!F27</f>
        <v>#DIV/0!</v>
      </c>
      <c r="G136" s="365"/>
      <c r="H136" s="365"/>
      <c r="I136" s="365"/>
      <c r="J136" s="365"/>
    </row>
    <row r="137" spans="2:10" ht="12.75">
      <c r="B137" s="601" t="s">
        <v>139</v>
      </c>
      <c r="C137" s="602" t="e">
        <f>'Discounts - Existing'!C28</f>
        <v>#DIV/0!</v>
      </c>
      <c r="D137" s="602" t="e">
        <f>'Discounts - Existing'!D28</f>
        <v>#DIV/0!</v>
      </c>
      <c r="E137" s="602" t="e">
        <f>'Discounts - Existing'!E28</f>
        <v>#DIV/0!</v>
      </c>
      <c r="F137" s="603" t="e">
        <f>'Discounts - Existing'!F28</f>
        <v>#DIV/0!</v>
      </c>
      <c r="G137" s="365"/>
      <c r="H137" s="365"/>
      <c r="I137" s="365"/>
      <c r="J137" s="365"/>
    </row>
    <row r="138" spans="2:10" ht="13.5" thickBot="1">
      <c r="B138" s="604" t="s">
        <v>142</v>
      </c>
      <c r="C138" s="605">
        <f>'Discounts - Existing'!C29</f>
        <v>0</v>
      </c>
      <c r="D138" s="605">
        <f>'Discounts - Existing'!D29</f>
        <v>0</v>
      </c>
      <c r="E138" s="605">
        <f>'Discounts - Existing'!E29</f>
        <v>0</v>
      </c>
      <c r="F138" s="606">
        <f>'Discounts - Existing'!F29</f>
        <v>0</v>
      </c>
      <c r="G138" s="365"/>
      <c r="H138" s="365"/>
      <c r="I138" s="365"/>
      <c r="J138" s="365"/>
    </row>
    <row r="139" spans="2:10" ht="13.5" thickBot="1">
      <c r="B139" s="607" t="s">
        <v>160</v>
      </c>
      <c r="C139" s="608" t="e">
        <f>SUM(C129:C138)</f>
        <v>#DIV/0!</v>
      </c>
      <c r="D139" s="608" t="e">
        <f>SUM(D129:D138)</f>
        <v>#DIV/0!</v>
      </c>
      <c r="E139" s="608" t="e">
        <f>SUM(E129:E138)</f>
        <v>#DIV/0!</v>
      </c>
      <c r="F139" s="609" t="e">
        <f>SUM(F129:F138)</f>
        <v>#DIV/0!</v>
      </c>
      <c r="G139" s="365"/>
      <c r="H139" s="365"/>
      <c r="I139" s="365"/>
      <c r="J139" s="365"/>
    </row>
    <row r="140" spans="2:10" ht="13.5" thickTop="1">
      <c r="B140" s="365"/>
      <c r="C140" s="365"/>
      <c r="D140" s="365"/>
      <c r="E140" s="365"/>
      <c r="F140" s="365"/>
      <c r="G140" s="365"/>
      <c r="H140" s="365"/>
      <c r="I140" s="365"/>
      <c r="J140" s="365"/>
    </row>
    <row r="141" spans="2:10" ht="12.75">
      <c r="B141" s="365"/>
      <c r="C141" s="469"/>
      <c r="D141" s="469"/>
      <c r="E141" s="469"/>
      <c r="F141" s="469"/>
      <c r="G141" s="365"/>
      <c r="H141" s="365"/>
      <c r="I141" s="365"/>
      <c r="J141" s="365"/>
    </row>
    <row r="142" spans="2:10" ht="12.75">
      <c r="B142" s="365"/>
      <c r="C142" s="365"/>
      <c r="D142" s="365"/>
      <c r="E142" s="365"/>
      <c r="F142" s="365"/>
      <c r="G142" s="365"/>
      <c r="H142" s="365"/>
      <c r="I142" s="365"/>
      <c r="J142" s="365"/>
    </row>
    <row r="143" spans="2:10" ht="12.75">
      <c r="B143" s="365"/>
      <c r="C143" s="365"/>
      <c r="D143" s="365"/>
      <c r="E143" s="365"/>
      <c r="F143" s="365"/>
      <c r="G143" s="365"/>
      <c r="H143" s="365"/>
      <c r="I143" s="365"/>
      <c r="J143" s="365"/>
    </row>
    <row r="144" spans="2:10" ht="12.75">
      <c r="B144" s="365"/>
      <c r="C144" s="365"/>
      <c r="D144" s="365"/>
      <c r="E144" s="365"/>
      <c r="F144" s="365"/>
      <c r="G144" s="365"/>
      <c r="H144" s="365"/>
      <c r="I144" s="365"/>
      <c r="J144" s="365"/>
    </row>
    <row r="145" spans="2:10" ht="12.75">
      <c r="B145" s="365"/>
      <c r="C145" s="365"/>
      <c r="D145" s="365"/>
      <c r="E145" s="365"/>
      <c r="F145" s="365"/>
      <c r="G145" s="365"/>
      <c r="H145" s="365"/>
      <c r="I145" s="365"/>
      <c r="J145" s="365"/>
    </row>
    <row r="146" spans="2:10" ht="12.75">
      <c r="B146" s="365"/>
      <c r="C146" s="365"/>
      <c r="D146" s="365"/>
      <c r="E146" s="365"/>
      <c r="F146" s="365"/>
      <c r="G146" s="365"/>
      <c r="H146" s="365"/>
      <c r="I146" s="365"/>
      <c r="J146" s="365"/>
    </row>
    <row r="147" spans="2:10" ht="12.75">
      <c r="B147" s="365"/>
      <c r="C147" s="365"/>
      <c r="D147" s="365"/>
      <c r="E147" s="365"/>
      <c r="F147" s="365"/>
      <c r="G147" s="365"/>
      <c r="H147" s="365"/>
      <c r="I147" s="365"/>
      <c r="J147" s="365"/>
    </row>
    <row r="148" spans="234:256" s="365" customFormat="1" ht="12.75"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34:256" s="365" customFormat="1" ht="12.75"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="365" customFormat="1" ht="12.75"/>
    <row r="151" s="365" customFormat="1" ht="12.75"/>
    <row r="152" s="365" customFormat="1" ht="12.75"/>
    <row r="153" s="365" customFormat="1" ht="12.75"/>
    <row r="154" s="365" customFormat="1" ht="12.75"/>
    <row r="155" s="365" customFormat="1" ht="12.75"/>
    <row r="156" s="365" customFormat="1" ht="12.75"/>
    <row r="157" s="365" customFormat="1" ht="12.75"/>
    <row r="158" s="365" customFormat="1" ht="12.75"/>
    <row r="159" s="365" customFormat="1" ht="12.75"/>
    <row r="160" s="365" customFormat="1" ht="12.75"/>
    <row r="161" s="365" customFormat="1" ht="12.75"/>
    <row r="162" s="365" customFormat="1" ht="12.75"/>
    <row r="163" s="365" customFormat="1" ht="12.75"/>
    <row r="164" s="365" customFormat="1" ht="12.75"/>
    <row r="165" s="365" customFormat="1" ht="12.75"/>
    <row r="166" s="365" customFormat="1" ht="12.75"/>
    <row r="167" s="365" customFormat="1" ht="12.75"/>
    <row r="168" s="365" customFormat="1" ht="12.75"/>
    <row r="169" s="365" customFormat="1" ht="12.75"/>
    <row r="170" s="365" customFormat="1" ht="12.75"/>
    <row r="171" s="365" customFormat="1" ht="12.75"/>
    <row r="172" s="365" customFormat="1" ht="12.75"/>
    <row r="173" s="365" customFormat="1" ht="12.75"/>
    <row r="174" s="365" customFormat="1" ht="12.75"/>
    <row r="175" s="365" customFormat="1" ht="12.75"/>
    <row r="176" s="365" customFormat="1" ht="12.75"/>
    <row r="177" s="365" customFormat="1" ht="12.75"/>
    <row r="178" s="365" customFormat="1" ht="12.75"/>
    <row r="179" s="365" customFormat="1" ht="12.75"/>
    <row r="180" s="365" customFormat="1" ht="12.75"/>
    <row r="181" s="365" customFormat="1" ht="12.75"/>
    <row r="182" s="365" customFormat="1" ht="12.75"/>
    <row r="183" s="365" customFormat="1" ht="12.75"/>
    <row r="184" s="365" customFormat="1" ht="12.75"/>
    <row r="185" s="365" customFormat="1" ht="12.75"/>
    <row r="186" s="365" customFormat="1" ht="12.75"/>
    <row r="187" s="365" customFormat="1" ht="12.75"/>
    <row r="188" s="365" customFormat="1" ht="12.75"/>
    <row r="189" s="365" customFormat="1" ht="12.75"/>
    <row r="190" s="365" customFormat="1" ht="12.75"/>
    <row r="191" s="365" customFormat="1" ht="12.75"/>
    <row r="192" s="365" customFormat="1" ht="12.75"/>
    <row r="193" s="365" customFormat="1" ht="12.75"/>
    <row r="194" s="365" customFormat="1" ht="12.75"/>
    <row r="195" s="365" customFormat="1" ht="12.75"/>
    <row r="196" spans="2:256" ht="12.75">
      <c r="B196" s="365"/>
      <c r="C196" s="365"/>
      <c r="D196" s="365"/>
      <c r="E196" s="365"/>
      <c r="F196" s="365"/>
      <c r="G196" s="365"/>
      <c r="H196" s="365"/>
      <c r="I196" s="365"/>
      <c r="J196" s="365"/>
      <c r="HZ196" s="365"/>
      <c r="IA196" s="365"/>
      <c r="IB196" s="365"/>
      <c r="IC196" s="365"/>
      <c r="ID196" s="365"/>
      <c r="IE196" s="365"/>
      <c r="IF196" s="365"/>
      <c r="IG196" s="365"/>
      <c r="IH196" s="365"/>
      <c r="II196" s="365"/>
      <c r="IJ196" s="365"/>
      <c r="IK196" s="365"/>
      <c r="IL196" s="365"/>
      <c r="IM196" s="365"/>
      <c r="IN196" s="365"/>
      <c r="IO196" s="365"/>
      <c r="IP196" s="365"/>
      <c r="IQ196" s="365"/>
      <c r="IR196" s="365"/>
      <c r="IS196" s="365"/>
      <c r="IT196" s="365"/>
      <c r="IU196" s="365"/>
      <c r="IV196" s="365"/>
    </row>
    <row r="197" spans="2:256" ht="12.75">
      <c r="B197" s="365"/>
      <c r="C197" s="365"/>
      <c r="D197" s="365"/>
      <c r="E197" s="365"/>
      <c r="F197" s="365"/>
      <c r="G197" s="365"/>
      <c r="H197" s="365"/>
      <c r="I197" s="365"/>
      <c r="J197" s="365"/>
      <c r="HZ197" s="365"/>
      <c r="IA197" s="365"/>
      <c r="IB197" s="365"/>
      <c r="IC197" s="365"/>
      <c r="ID197" s="365"/>
      <c r="IE197" s="365"/>
      <c r="IF197" s="365"/>
      <c r="IG197" s="365"/>
      <c r="IH197" s="365"/>
      <c r="II197" s="365"/>
      <c r="IJ197" s="365"/>
      <c r="IK197" s="365"/>
      <c r="IL197" s="365"/>
      <c r="IM197" s="365"/>
      <c r="IN197" s="365"/>
      <c r="IO197" s="365"/>
      <c r="IP197" s="365"/>
      <c r="IQ197" s="365"/>
      <c r="IR197" s="365"/>
      <c r="IS197" s="365"/>
      <c r="IT197" s="365"/>
      <c r="IU197" s="365"/>
      <c r="IV197" s="365"/>
    </row>
    <row r="198" spans="2:10" ht="12.75">
      <c r="B198" s="365"/>
      <c r="C198" s="365"/>
      <c r="D198" s="365"/>
      <c r="E198" s="365"/>
      <c r="F198" s="365"/>
      <c r="G198" s="365"/>
      <c r="H198" s="365"/>
      <c r="I198" s="365"/>
      <c r="J198" s="365"/>
    </row>
    <row r="199" spans="2:10" ht="12.75">
      <c r="B199" s="365"/>
      <c r="C199" s="365"/>
      <c r="D199" s="365"/>
      <c r="E199" s="365"/>
      <c r="F199" s="365"/>
      <c r="G199" s="365"/>
      <c r="H199" s="365"/>
      <c r="I199" s="365"/>
      <c r="J199" s="365"/>
    </row>
    <row r="200" spans="2:10" ht="12.75">
      <c r="B200" s="365"/>
      <c r="C200" s="365"/>
      <c r="D200" s="365"/>
      <c r="E200" s="365"/>
      <c r="F200" s="365"/>
      <c r="G200" s="365"/>
      <c r="H200" s="365"/>
      <c r="I200" s="365"/>
      <c r="J200" s="365"/>
    </row>
    <row r="201" spans="2:10" ht="12.75">
      <c r="B201" s="365"/>
      <c r="C201" s="365"/>
      <c r="D201" s="365"/>
      <c r="E201" s="365"/>
      <c r="F201" s="365"/>
      <c r="G201" s="365"/>
      <c r="H201" s="365"/>
      <c r="I201" s="365"/>
      <c r="J201" s="365"/>
    </row>
    <row r="202" spans="2:10" ht="12.75">
      <c r="B202" s="365"/>
      <c r="C202" s="365"/>
      <c r="D202" s="365"/>
      <c r="E202" s="365"/>
      <c r="F202" s="365"/>
      <c r="G202" s="365"/>
      <c r="H202" s="365"/>
      <c r="I202" s="365"/>
      <c r="J202" s="365"/>
    </row>
    <row r="203" spans="2:10" ht="12.75">
      <c r="B203" s="365"/>
      <c r="C203" s="365"/>
      <c r="D203" s="365"/>
      <c r="E203" s="365"/>
      <c r="F203" s="365"/>
      <c r="G203" s="365"/>
      <c r="H203" s="365"/>
      <c r="I203" s="365"/>
      <c r="J203" s="365"/>
    </row>
    <row r="204" spans="2:10" ht="12.75">
      <c r="B204" s="365"/>
      <c r="C204" s="365"/>
      <c r="D204" s="365"/>
      <c r="E204" s="365"/>
      <c r="F204" s="365"/>
      <c r="G204" s="365"/>
      <c r="H204" s="365"/>
      <c r="I204" s="365"/>
      <c r="J204" s="365"/>
    </row>
    <row r="205" spans="2:10" ht="12.75">
      <c r="B205" s="365"/>
      <c r="C205" s="365"/>
      <c r="D205" s="365"/>
      <c r="E205" s="365"/>
      <c r="F205" s="365"/>
      <c r="G205" s="365"/>
      <c r="H205" s="365"/>
      <c r="I205" s="365"/>
      <c r="J205" s="365"/>
    </row>
  </sheetData>
  <printOptions/>
  <pageMargins left="0.75" right="0.75" top="1" bottom="1" header="0.5" footer="0.5"/>
  <pageSetup fitToHeight="2" fitToWidth="1" horizontalDpi="300" verticalDpi="300" orientation="portrait" scale="5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40"/>
  <sheetViews>
    <sheetView zoomScale="75" zoomScaleNormal="75" workbookViewId="0" topLeftCell="A238">
      <pane xSplit="2" topLeftCell="C1" activePane="topRight" state="frozen"/>
      <selection pane="topLeft" activeCell="A142" sqref="A142"/>
      <selection pane="topRight" activeCell="C260" sqref="C260"/>
    </sheetView>
  </sheetViews>
  <sheetFormatPr defaultColWidth="9.140625" defaultRowHeight="12.75"/>
  <cols>
    <col min="1" max="1" width="1.57421875" style="371" customWidth="1"/>
    <col min="2" max="2" width="51.140625" style="25" customWidth="1"/>
    <col min="3" max="3" width="28.421875" style="25" customWidth="1"/>
    <col min="4" max="4" width="44.7109375" style="25" customWidth="1"/>
    <col min="5" max="5" width="26.28125" style="25" customWidth="1"/>
    <col min="6" max="6" width="34.00390625" style="25" customWidth="1"/>
    <col min="7" max="7" width="19.57421875" style="25" customWidth="1"/>
    <col min="8" max="8" width="9.140625" style="25" customWidth="1"/>
    <col min="9" max="9" width="17.7109375" style="25" customWidth="1"/>
    <col min="10" max="16384" width="9.140625" style="25" customWidth="1"/>
  </cols>
  <sheetData>
    <row r="1" s="365" customFormat="1" ht="12.75"/>
    <row r="2" s="365" customFormat="1" ht="26.25">
      <c r="B2" s="189" t="s">
        <v>200</v>
      </c>
    </row>
    <row r="3" s="365" customFormat="1" ht="12.75"/>
    <row r="4" s="365" customFormat="1" ht="13.5" thickBot="1"/>
    <row r="5" spans="2:7" s="365" customFormat="1" ht="24" customHeight="1" thickBot="1" thickTop="1">
      <c r="B5" s="450" t="s">
        <v>104</v>
      </c>
      <c r="C5" s="443"/>
      <c r="D5" s="443"/>
      <c r="E5" s="449"/>
      <c r="F5" s="444"/>
      <c r="G5" s="377"/>
    </row>
    <row r="6" spans="1:233" ht="15.75" customHeight="1">
      <c r="A6" s="365"/>
      <c r="B6" s="474"/>
      <c r="C6" s="475"/>
      <c r="D6" s="476"/>
      <c r="E6" s="481" t="s">
        <v>283</v>
      </c>
      <c r="F6" s="473"/>
      <c r="G6" s="377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5"/>
      <c r="BA6" s="365"/>
      <c r="BB6" s="365"/>
      <c r="BC6" s="365"/>
      <c r="BD6" s="365"/>
      <c r="BE6" s="365"/>
      <c r="BF6" s="365"/>
      <c r="BG6" s="365"/>
      <c r="BH6" s="365"/>
      <c r="BI6" s="365"/>
      <c r="BJ6" s="365"/>
      <c r="BK6" s="365"/>
      <c r="BL6" s="365"/>
      <c r="BM6" s="365"/>
      <c r="BN6" s="365"/>
      <c r="BO6" s="365"/>
      <c r="BP6" s="365"/>
      <c r="BQ6" s="365"/>
      <c r="BR6" s="365"/>
      <c r="BS6" s="365"/>
      <c r="BT6" s="365"/>
      <c r="BU6" s="365"/>
      <c r="BV6" s="365"/>
      <c r="BW6" s="365"/>
      <c r="BX6" s="365"/>
      <c r="BY6" s="365"/>
      <c r="BZ6" s="365"/>
      <c r="CA6" s="365"/>
      <c r="CB6" s="365"/>
      <c r="CC6" s="365"/>
      <c r="CD6" s="365"/>
      <c r="CE6" s="365"/>
      <c r="CF6" s="365"/>
      <c r="CG6" s="365"/>
      <c r="CH6" s="365"/>
      <c r="CI6" s="365"/>
      <c r="CJ6" s="365"/>
      <c r="CK6" s="365"/>
      <c r="CL6" s="365"/>
      <c r="CM6" s="365"/>
      <c r="CN6" s="365"/>
      <c r="CO6" s="365"/>
      <c r="CP6" s="365"/>
      <c r="CQ6" s="365"/>
      <c r="CR6" s="365"/>
      <c r="CS6" s="365"/>
      <c r="CT6" s="365"/>
      <c r="CU6" s="365"/>
      <c r="CV6" s="365"/>
      <c r="CW6" s="365"/>
      <c r="CX6" s="365"/>
      <c r="CY6" s="365"/>
      <c r="CZ6" s="365"/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5"/>
      <c r="DU6" s="365"/>
      <c r="DV6" s="365"/>
      <c r="DW6" s="365"/>
      <c r="DX6" s="365"/>
      <c r="DY6" s="365"/>
      <c r="DZ6" s="365"/>
      <c r="EA6" s="365"/>
      <c r="EB6" s="365"/>
      <c r="EC6" s="365"/>
      <c r="ED6" s="365"/>
      <c r="EE6" s="365"/>
      <c r="EF6" s="365"/>
      <c r="EG6" s="365"/>
      <c r="EH6" s="365"/>
      <c r="EI6" s="365"/>
      <c r="EJ6" s="365"/>
      <c r="EK6" s="365"/>
      <c r="EL6" s="365"/>
      <c r="EM6" s="365"/>
      <c r="EN6" s="365"/>
      <c r="EO6" s="365"/>
      <c r="EP6" s="365"/>
      <c r="EQ6" s="365"/>
      <c r="ER6" s="365"/>
      <c r="ES6" s="365"/>
      <c r="ET6" s="365"/>
      <c r="EU6" s="365"/>
      <c r="EV6" s="365"/>
      <c r="EW6" s="365"/>
      <c r="EX6" s="365"/>
      <c r="EY6" s="365"/>
      <c r="EZ6" s="365"/>
      <c r="FA6" s="365"/>
      <c r="FB6" s="365"/>
      <c r="FC6" s="365"/>
      <c r="FD6" s="365"/>
      <c r="FE6" s="365"/>
      <c r="FF6" s="365"/>
      <c r="FG6" s="365"/>
      <c r="FH6" s="365"/>
      <c r="FI6" s="365"/>
      <c r="FJ6" s="365"/>
      <c r="FK6" s="365"/>
      <c r="FL6" s="365"/>
      <c r="FM6" s="365"/>
      <c r="FN6" s="365"/>
      <c r="FO6" s="365"/>
      <c r="FP6" s="365"/>
      <c r="FQ6" s="365"/>
      <c r="FR6" s="365"/>
      <c r="FS6" s="365"/>
      <c r="FT6" s="365"/>
      <c r="FU6" s="365"/>
      <c r="FV6" s="365"/>
      <c r="FW6" s="365"/>
      <c r="FX6" s="365"/>
      <c r="FY6" s="365"/>
      <c r="FZ6" s="365"/>
      <c r="GA6" s="365"/>
      <c r="GB6" s="365"/>
      <c r="GC6" s="365"/>
      <c r="GD6" s="365"/>
      <c r="GE6" s="365"/>
      <c r="GF6" s="365"/>
      <c r="GG6" s="365"/>
      <c r="GH6" s="365"/>
      <c r="GI6" s="365"/>
      <c r="GJ6" s="365"/>
      <c r="GK6" s="365"/>
      <c r="GL6" s="365"/>
      <c r="GM6" s="365"/>
      <c r="GN6" s="365"/>
      <c r="GO6" s="365"/>
      <c r="GP6" s="365"/>
      <c r="GQ6" s="365"/>
      <c r="GR6" s="365"/>
      <c r="GS6" s="365"/>
      <c r="GT6" s="365"/>
      <c r="GU6" s="365"/>
      <c r="GV6" s="365"/>
      <c r="GW6" s="365"/>
      <c r="GX6" s="365"/>
      <c r="GY6" s="365"/>
      <c r="GZ6" s="365"/>
      <c r="HA6" s="365"/>
      <c r="HB6" s="365"/>
      <c r="HC6" s="365"/>
      <c r="HD6" s="365"/>
      <c r="HE6" s="365"/>
      <c r="HF6" s="365"/>
      <c r="HG6" s="365"/>
      <c r="HH6" s="365"/>
      <c r="HI6" s="365"/>
      <c r="HJ6" s="365"/>
      <c r="HK6" s="365"/>
      <c r="HL6" s="365"/>
      <c r="HM6" s="365"/>
      <c r="HN6" s="365"/>
      <c r="HO6" s="365"/>
      <c r="HP6" s="365"/>
      <c r="HQ6" s="365"/>
      <c r="HR6" s="365"/>
      <c r="HS6" s="365"/>
      <c r="HT6" s="365"/>
      <c r="HU6" s="365"/>
      <c r="HV6" s="365"/>
      <c r="HW6" s="365"/>
      <c r="HX6" s="365"/>
      <c r="HY6" s="365"/>
    </row>
    <row r="7" spans="1:233" ht="13.5" customHeight="1">
      <c r="A7" s="365"/>
      <c r="B7" s="76" t="s">
        <v>106</v>
      </c>
      <c r="C7" s="77">
        <f>'Existing Management Practices'!C7</f>
        <v>0</v>
      </c>
      <c r="D7" s="479"/>
      <c r="E7" s="108" t="s">
        <v>281</v>
      </c>
      <c r="F7" s="480" t="s">
        <v>282</v>
      </c>
      <c r="G7" s="377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/>
      <c r="BI7" s="365"/>
      <c r="BJ7" s="365"/>
      <c r="BK7" s="365"/>
      <c r="BL7" s="365"/>
      <c r="BM7" s="365"/>
      <c r="BN7" s="365"/>
      <c r="BO7" s="365"/>
      <c r="BP7" s="365"/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/>
      <c r="CB7" s="365"/>
      <c r="CC7" s="365"/>
      <c r="CD7" s="365"/>
      <c r="CE7" s="365"/>
      <c r="CF7" s="365"/>
      <c r="CG7" s="365"/>
      <c r="CH7" s="365"/>
      <c r="CI7" s="365"/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/>
      <c r="CU7" s="365"/>
      <c r="CV7" s="365"/>
      <c r="CW7" s="365"/>
      <c r="CX7" s="365"/>
      <c r="CY7" s="365"/>
      <c r="CZ7" s="365"/>
      <c r="DA7" s="365"/>
      <c r="DB7" s="365"/>
      <c r="DC7" s="365"/>
      <c r="DD7" s="365"/>
      <c r="DE7" s="365"/>
      <c r="DF7" s="365"/>
      <c r="DG7" s="365"/>
      <c r="DH7" s="365"/>
      <c r="DI7" s="365"/>
      <c r="DJ7" s="365"/>
      <c r="DK7" s="365"/>
      <c r="DL7" s="365"/>
      <c r="DM7" s="365"/>
      <c r="DN7" s="365"/>
      <c r="DO7" s="365"/>
      <c r="DP7" s="365"/>
      <c r="DQ7" s="365"/>
      <c r="DR7" s="365"/>
      <c r="DS7" s="365"/>
      <c r="DT7" s="365"/>
      <c r="DU7" s="365"/>
      <c r="DV7" s="365"/>
      <c r="DW7" s="365"/>
      <c r="DX7" s="365"/>
      <c r="DY7" s="365"/>
      <c r="DZ7" s="365"/>
      <c r="EA7" s="365"/>
      <c r="EB7" s="365"/>
      <c r="EC7" s="365"/>
      <c r="ED7" s="365"/>
      <c r="EE7" s="365"/>
      <c r="EF7" s="365"/>
      <c r="EG7" s="365"/>
      <c r="EH7" s="365"/>
      <c r="EI7" s="365"/>
      <c r="EJ7" s="365"/>
      <c r="EK7" s="365"/>
      <c r="EL7" s="365"/>
      <c r="EM7" s="365"/>
      <c r="EN7" s="365"/>
      <c r="EO7" s="365"/>
      <c r="EP7" s="365"/>
      <c r="EQ7" s="365"/>
      <c r="ER7" s="365"/>
      <c r="ES7" s="365"/>
      <c r="ET7" s="365"/>
      <c r="EU7" s="365"/>
      <c r="EV7" s="365"/>
      <c r="EW7" s="365"/>
      <c r="EX7" s="365"/>
      <c r="EY7" s="365"/>
      <c r="EZ7" s="365"/>
      <c r="FA7" s="365"/>
      <c r="FB7" s="365"/>
      <c r="FC7" s="365"/>
      <c r="FD7" s="365"/>
      <c r="FE7" s="365"/>
      <c r="FF7" s="365"/>
      <c r="FG7" s="365"/>
      <c r="FH7" s="365"/>
      <c r="FI7" s="365"/>
      <c r="FJ7" s="365"/>
      <c r="FK7" s="365"/>
      <c r="FL7" s="365"/>
      <c r="FM7" s="365"/>
      <c r="FN7" s="365"/>
      <c r="FO7" s="365"/>
      <c r="FP7" s="365"/>
      <c r="FQ7" s="365"/>
      <c r="FR7" s="365"/>
      <c r="FS7" s="365"/>
      <c r="FT7" s="365"/>
      <c r="FU7" s="365"/>
      <c r="FV7" s="365"/>
      <c r="FW7" s="365"/>
      <c r="FX7" s="365"/>
      <c r="FY7" s="365"/>
      <c r="FZ7" s="365"/>
      <c r="GA7" s="365"/>
      <c r="GB7" s="365"/>
      <c r="GC7" s="365"/>
      <c r="GD7" s="365"/>
      <c r="GE7" s="365"/>
      <c r="GF7" s="365"/>
      <c r="GG7" s="365"/>
      <c r="GH7" s="365"/>
      <c r="GI7" s="365"/>
      <c r="GJ7" s="365"/>
      <c r="GK7" s="365"/>
      <c r="GL7" s="365"/>
      <c r="GM7" s="365"/>
      <c r="GN7" s="365"/>
      <c r="GO7" s="365"/>
      <c r="GP7" s="365"/>
      <c r="GQ7" s="365"/>
      <c r="GR7" s="365"/>
      <c r="GS7" s="365"/>
      <c r="GT7" s="365"/>
      <c r="GU7" s="365"/>
      <c r="GV7" s="365"/>
      <c r="GW7" s="365"/>
      <c r="GX7" s="365"/>
      <c r="GY7" s="365"/>
      <c r="GZ7" s="365"/>
      <c r="HA7" s="365"/>
      <c r="HB7" s="365"/>
      <c r="HC7" s="365"/>
      <c r="HD7" s="365"/>
      <c r="HE7" s="365"/>
      <c r="HF7" s="365"/>
      <c r="HG7" s="365"/>
      <c r="HH7" s="365"/>
      <c r="HI7" s="365"/>
      <c r="HJ7" s="365"/>
      <c r="HK7" s="365"/>
      <c r="HL7" s="365"/>
      <c r="HM7" s="365"/>
      <c r="HN7" s="365"/>
      <c r="HO7" s="365"/>
      <c r="HP7" s="365"/>
      <c r="HQ7" s="365"/>
      <c r="HR7" s="365"/>
      <c r="HS7" s="365"/>
      <c r="HT7" s="365"/>
      <c r="HU7" s="365"/>
      <c r="HV7" s="365"/>
      <c r="HW7" s="365"/>
      <c r="HX7" s="365"/>
      <c r="HY7" s="365"/>
    </row>
    <row r="8" spans="1:233" ht="11.25" customHeight="1">
      <c r="A8" s="394"/>
      <c r="B8" s="76" t="s">
        <v>107</v>
      </c>
      <c r="C8" s="477">
        <f>'Existing Management Practices'!C8</f>
        <v>0</v>
      </c>
      <c r="D8" s="73" t="s">
        <v>284</v>
      </c>
      <c r="E8" s="61">
        <f>'Existing Management Practices'!E8</f>
        <v>150</v>
      </c>
      <c r="F8" s="74">
        <f>'Existing Management Practices'!F8</f>
        <v>15</v>
      </c>
      <c r="G8" s="377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  <c r="AQ8" s="365"/>
      <c r="AR8" s="365"/>
      <c r="AS8" s="365"/>
      <c r="AT8" s="365"/>
      <c r="AU8" s="365"/>
      <c r="AV8" s="365"/>
      <c r="AW8" s="365"/>
      <c r="AX8" s="365"/>
      <c r="AY8" s="365"/>
      <c r="AZ8" s="365"/>
      <c r="BA8" s="365"/>
      <c r="BB8" s="365"/>
      <c r="BC8" s="365"/>
      <c r="BD8" s="365"/>
      <c r="BE8" s="365"/>
      <c r="BF8" s="365"/>
      <c r="BG8" s="365"/>
      <c r="BH8" s="365"/>
      <c r="BI8" s="365"/>
      <c r="BJ8" s="365"/>
      <c r="BK8" s="365"/>
      <c r="BL8" s="365"/>
      <c r="BM8" s="365"/>
      <c r="BN8" s="365"/>
      <c r="BO8" s="365"/>
      <c r="BP8" s="365"/>
      <c r="BQ8" s="365"/>
      <c r="BR8" s="365"/>
      <c r="BS8" s="365"/>
      <c r="BT8" s="365"/>
      <c r="BU8" s="365"/>
      <c r="BV8" s="365"/>
      <c r="BW8" s="365"/>
      <c r="BX8" s="365"/>
      <c r="BY8" s="365"/>
      <c r="BZ8" s="365"/>
      <c r="CA8" s="365"/>
      <c r="CB8" s="365"/>
      <c r="CC8" s="365"/>
      <c r="CD8" s="365"/>
      <c r="CE8" s="365"/>
      <c r="CF8" s="365"/>
      <c r="CG8" s="365"/>
      <c r="CH8" s="365"/>
      <c r="CI8" s="365"/>
      <c r="CJ8" s="365"/>
      <c r="CK8" s="365"/>
      <c r="CL8" s="365"/>
      <c r="CM8" s="365"/>
      <c r="CN8" s="365"/>
      <c r="CO8" s="365"/>
      <c r="CP8" s="365"/>
      <c r="CQ8" s="365"/>
      <c r="CR8" s="365"/>
      <c r="CS8" s="365"/>
      <c r="CT8" s="365"/>
      <c r="CU8" s="365"/>
      <c r="CV8" s="365"/>
      <c r="CW8" s="365"/>
      <c r="CX8" s="365"/>
      <c r="CY8" s="365"/>
      <c r="CZ8" s="365"/>
      <c r="DA8" s="365"/>
      <c r="DB8" s="365"/>
      <c r="DC8" s="365"/>
      <c r="DD8" s="365"/>
      <c r="DE8" s="365"/>
      <c r="DF8" s="365"/>
      <c r="DG8" s="365"/>
      <c r="DH8" s="365"/>
      <c r="DI8" s="365"/>
      <c r="DJ8" s="365"/>
      <c r="DK8" s="365"/>
      <c r="DL8" s="365"/>
      <c r="DM8" s="365"/>
      <c r="DN8" s="365"/>
      <c r="DO8" s="365"/>
      <c r="DP8" s="365"/>
      <c r="DQ8" s="365"/>
      <c r="DR8" s="365"/>
      <c r="DS8" s="365"/>
      <c r="DT8" s="365"/>
      <c r="DU8" s="365"/>
      <c r="DV8" s="365"/>
      <c r="DW8" s="365"/>
      <c r="DX8" s="365"/>
      <c r="DY8" s="365"/>
      <c r="DZ8" s="365"/>
      <c r="EA8" s="365"/>
      <c r="EB8" s="365"/>
      <c r="EC8" s="365"/>
      <c r="ED8" s="365"/>
      <c r="EE8" s="365"/>
      <c r="EF8" s="365"/>
      <c r="EG8" s="365"/>
      <c r="EH8" s="365"/>
      <c r="EI8" s="365"/>
      <c r="EJ8" s="365"/>
      <c r="EK8" s="365"/>
      <c r="EL8" s="365"/>
      <c r="EM8" s="365"/>
      <c r="EN8" s="365"/>
      <c r="EO8" s="365"/>
      <c r="EP8" s="365"/>
      <c r="EQ8" s="365"/>
      <c r="ER8" s="365"/>
      <c r="ES8" s="365"/>
      <c r="ET8" s="365"/>
      <c r="EU8" s="365"/>
      <c r="EV8" s="365"/>
      <c r="EW8" s="365"/>
      <c r="EX8" s="365"/>
      <c r="EY8" s="365"/>
      <c r="EZ8" s="365"/>
      <c r="FA8" s="365"/>
      <c r="FB8" s="365"/>
      <c r="FC8" s="365"/>
      <c r="FD8" s="365"/>
      <c r="FE8" s="365"/>
      <c r="FF8" s="365"/>
      <c r="FG8" s="365"/>
      <c r="FH8" s="365"/>
      <c r="FI8" s="365"/>
      <c r="FJ8" s="365"/>
      <c r="FK8" s="365"/>
      <c r="FL8" s="365"/>
      <c r="FM8" s="365"/>
      <c r="FN8" s="365"/>
      <c r="FO8" s="365"/>
      <c r="FP8" s="365"/>
      <c r="FQ8" s="365"/>
      <c r="FR8" s="365"/>
      <c r="FS8" s="365"/>
      <c r="FT8" s="365"/>
      <c r="FU8" s="365"/>
      <c r="FV8" s="365"/>
      <c r="FW8" s="365"/>
      <c r="FX8" s="365"/>
      <c r="FY8" s="365"/>
      <c r="FZ8" s="365"/>
      <c r="GA8" s="365"/>
      <c r="GB8" s="365"/>
      <c r="GC8" s="365"/>
      <c r="GD8" s="365"/>
      <c r="GE8" s="365"/>
      <c r="GF8" s="365"/>
      <c r="GG8" s="365"/>
      <c r="GH8" s="365"/>
      <c r="GI8" s="365"/>
      <c r="GJ8" s="365"/>
      <c r="GK8" s="365"/>
      <c r="GL8" s="365"/>
      <c r="GM8" s="365"/>
      <c r="GN8" s="365"/>
      <c r="GO8" s="365"/>
      <c r="GP8" s="365"/>
      <c r="GQ8" s="365"/>
      <c r="GR8" s="365"/>
      <c r="GS8" s="365"/>
      <c r="GT8" s="365"/>
      <c r="GU8" s="365"/>
      <c r="GV8" s="365"/>
      <c r="GW8" s="365"/>
      <c r="GX8" s="365"/>
      <c r="GY8" s="365"/>
      <c r="GZ8" s="365"/>
      <c r="HA8" s="365"/>
      <c r="HB8" s="365"/>
      <c r="HC8" s="365"/>
      <c r="HD8" s="365"/>
      <c r="HE8" s="365"/>
      <c r="HF8" s="365"/>
      <c r="HG8" s="365"/>
      <c r="HH8" s="365"/>
      <c r="HI8" s="365"/>
      <c r="HJ8" s="365"/>
      <c r="HK8" s="365"/>
      <c r="HL8" s="365"/>
      <c r="HM8" s="365"/>
      <c r="HN8" s="365"/>
      <c r="HO8" s="365"/>
      <c r="HP8" s="365"/>
      <c r="HQ8" s="365"/>
      <c r="HR8" s="365"/>
      <c r="HS8" s="365"/>
      <c r="HT8" s="365"/>
      <c r="HU8" s="365"/>
      <c r="HV8" s="365"/>
      <c r="HW8" s="365"/>
      <c r="HX8" s="365"/>
      <c r="HY8" s="365"/>
    </row>
    <row r="9" spans="1:233" ht="11.25" customHeight="1">
      <c r="A9" s="394"/>
      <c r="B9" s="482" t="s">
        <v>280</v>
      </c>
      <c r="C9" s="478"/>
      <c r="D9" s="73" t="s">
        <v>108</v>
      </c>
      <c r="E9" s="61">
        <f>'Existing Management Practices'!E9</f>
        <v>0.5</v>
      </c>
      <c r="F9" s="74">
        <f>'Existing Management Practices'!F9</f>
        <v>0.5</v>
      </c>
      <c r="G9" s="377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5"/>
      <c r="AS9" s="365"/>
      <c r="AT9" s="365"/>
      <c r="AU9" s="365"/>
      <c r="AV9" s="365"/>
      <c r="AW9" s="365"/>
      <c r="AX9" s="365"/>
      <c r="AY9" s="365"/>
      <c r="AZ9" s="365"/>
      <c r="BA9" s="365"/>
      <c r="BB9" s="365"/>
      <c r="BC9" s="365"/>
      <c r="BD9" s="365"/>
      <c r="BE9" s="365"/>
      <c r="BF9" s="365"/>
      <c r="BG9" s="365"/>
      <c r="BH9" s="365"/>
      <c r="BI9" s="365"/>
      <c r="BJ9" s="365"/>
      <c r="BK9" s="365"/>
      <c r="BL9" s="365"/>
      <c r="BM9" s="365"/>
      <c r="BN9" s="365"/>
      <c r="BO9" s="365"/>
      <c r="BP9" s="365"/>
      <c r="BQ9" s="365"/>
      <c r="BR9" s="365"/>
      <c r="BS9" s="365"/>
      <c r="BT9" s="365"/>
      <c r="BU9" s="365"/>
      <c r="BV9" s="365"/>
      <c r="BW9" s="365"/>
      <c r="BX9" s="365"/>
      <c r="BY9" s="365"/>
      <c r="BZ9" s="365"/>
      <c r="CA9" s="365"/>
      <c r="CB9" s="365"/>
      <c r="CC9" s="365"/>
      <c r="CD9" s="365"/>
      <c r="CE9" s="365"/>
      <c r="CF9" s="365"/>
      <c r="CG9" s="365"/>
      <c r="CH9" s="365"/>
      <c r="CI9" s="365"/>
      <c r="CJ9" s="365"/>
      <c r="CK9" s="365"/>
      <c r="CL9" s="365"/>
      <c r="CM9" s="365"/>
      <c r="CN9" s="365"/>
      <c r="CO9" s="365"/>
      <c r="CP9" s="365"/>
      <c r="CQ9" s="365"/>
      <c r="CR9" s="365"/>
      <c r="CS9" s="365"/>
      <c r="CT9" s="365"/>
      <c r="CU9" s="365"/>
      <c r="CV9" s="365"/>
      <c r="CW9" s="365"/>
      <c r="CX9" s="365"/>
      <c r="CY9" s="365"/>
      <c r="CZ9" s="365"/>
      <c r="DA9" s="365"/>
      <c r="DB9" s="365"/>
      <c r="DC9" s="365"/>
      <c r="DD9" s="365"/>
      <c r="DE9" s="365"/>
      <c r="DF9" s="365"/>
      <c r="DG9" s="365"/>
      <c r="DH9" s="365"/>
      <c r="DI9" s="365"/>
      <c r="DJ9" s="365"/>
      <c r="DK9" s="365"/>
      <c r="DL9" s="365"/>
      <c r="DM9" s="365"/>
      <c r="DN9" s="365"/>
      <c r="DO9" s="365"/>
      <c r="DP9" s="365"/>
      <c r="DQ9" s="365"/>
      <c r="DR9" s="365"/>
      <c r="DS9" s="365"/>
      <c r="DT9" s="365"/>
      <c r="DU9" s="365"/>
      <c r="DV9" s="365"/>
      <c r="DW9" s="365"/>
      <c r="DX9" s="365"/>
      <c r="DY9" s="365"/>
      <c r="DZ9" s="365"/>
      <c r="EA9" s="365"/>
      <c r="EB9" s="365"/>
      <c r="EC9" s="365"/>
      <c r="ED9" s="365"/>
      <c r="EE9" s="365"/>
      <c r="EF9" s="365"/>
      <c r="EG9" s="365"/>
      <c r="EH9" s="365"/>
      <c r="EI9" s="365"/>
      <c r="EJ9" s="365"/>
      <c r="EK9" s="365"/>
      <c r="EL9" s="365"/>
      <c r="EM9" s="365"/>
      <c r="EN9" s="365"/>
      <c r="EO9" s="365"/>
      <c r="EP9" s="365"/>
      <c r="EQ9" s="365"/>
      <c r="ER9" s="365"/>
      <c r="ES9" s="365"/>
      <c r="ET9" s="365"/>
      <c r="EU9" s="365"/>
      <c r="EV9" s="365"/>
      <c r="EW9" s="365"/>
      <c r="EX9" s="365"/>
      <c r="EY9" s="365"/>
      <c r="EZ9" s="365"/>
      <c r="FA9" s="365"/>
      <c r="FB9" s="365"/>
      <c r="FC9" s="365"/>
      <c r="FD9" s="365"/>
      <c r="FE9" s="365"/>
      <c r="FF9" s="365"/>
      <c r="FG9" s="365"/>
      <c r="FH9" s="365"/>
      <c r="FI9" s="365"/>
      <c r="FJ9" s="365"/>
      <c r="FK9" s="365"/>
      <c r="FL9" s="365"/>
      <c r="FM9" s="365"/>
      <c r="FN9" s="365"/>
      <c r="FO9" s="365"/>
      <c r="FP9" s="365"/>
      <c r="FQ9" s="365"/>
      <c r="FR9" s="365"/>
      <c r="FS9" s="365"/>
      <c r="FT9" s="365"/>
      <c r="FU9" s="365"/>
      <c r="FV9" s="365"/>
      <c r="FW9" s="365"/>
      <c r="FX9" s="365"/>
      <c r="FY9" s="365"/>
      <c r="FZ9" s="365"/>
      <c r="GA9" s="365"/>
      <c r="GB9" s="365"/>
      <c r="GC9" s="365"/>
      <c r="GD9" s="365"/>
      <c r="GE9" s="365"/>
      <c r="GF9" s="365"/>
      <c r="GG9" s="365"/>
      <c r="GH9" s="365"/>
      <c r="GI9" s="365"/>
      <c r="GJ9" s="365"/>
      <c r="GK9" s="365"/>
      <c r="GL9" s="365"/>
      <c r="GM9" s="365"/>
      <c r="GN9" s="365"/>
      <c r="GO9" s="365"/>
      <c r="GP9" s="365"/>
      <c r="GQ9" s="365"/>
      <c r="GR9" s="365"/>
      <c r="GS9" s="365"/>
      <c r="GT9" s="365"/>
      <c r="GU9" s="365"/>
      <c r="GV9" s="365"/>
      <c r="GW9" s="365"/>
      <c r="GX9" s="365"/>
      <c r="GY9" s="365"/>
      <c r="GZ9" s="365"/>
      <c r="HA9" s="365"/>
      <c r="HB9" s="365"/>
      <c r="HC9" s="365"/>
      <c r="HD9" s="365"/>
      <c r="HE9" s="365"/>
      <c r="HF9" s="365"/>
      <c r="HG9" s="365"/>
      <c r="HH9" s="365"/>
      <c r="HI9" s="365"/>
      <c r="HJ9" s="365"/>
      <c r="HK9" s="365"/>
      <c r="HL9" s="365"/>
      <c r="HM9" s="365"/>
      <c r="HN9" s="365"/>
      <c r="HO9" s="365"/>
      <c r="HP9" s="365"/>
      <c r="HQ9" s="365"/>
      <c r="HR9" s="365"/>
      <c r="HS9" s="365"/>
      <c r="HT9" s="365"/>
      <c r="HU9" s="365"/>
      <c r="HV9" s="365"/>
      <c r="HW9" s="365"/>
      <c r="HX9" s="365"/>
      <c r="HY9" s="365"/>
    </row>
    <row r="10" spans="1:233" ht="14.25" customHeight="1">
      <c r="A10" s="394"/>
      <c r="B10" s="78" t="s">
        <v>148</v>
      </c>
      <c r="C10" s="155">
        <f>'Existing Management Practices'!C10</f>
        <v>0.78</v>
      </c>
      <c r="D10" s="73" t="s">
        <v>285</v>
      </c>
      <c r="E10" s="61">
        <f>'Existing Management Practices'!E10</f>
        <v>0.25</v>
      </c>
      <c r="F10" s="74">
        <f>'Existing Management Practices'!F10</f>
        <v>0.05</v>
      </c>
      <c r="G10" s="377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65"/>
      <c r="GI10" s="365"/>
      <c r="GJ10" s="365"/>
      <c r="GK10" s="365"/>
      <c r="GL10" s="365"/>
      <c r="GM10" s="365"/>
      <c r="GN10" s="365"/>
      <c r="GO10" s="365"/>
      <c r="GP10" s="365"/>
      <c r="GQ10" s="365"/>
      <c r="GR10" s="365"/>
      <c r="GS10" s="365"/>
      <c r="GT10" s="365"/>
      <c r="GU10" s="365"/>
      <c r="GV10" s="365"/>
      <c r="GW10" s="365"/>
      <c r="GX10" s="365"/>
      <c r="GY10" s="365"/>
      <c r="GZ10" s="365"/>
      <c r="HA10" s="365"/>
      <c r="HB10" s="365"/>
      <c r="HC10" s="365"/>
      <c r="HD10" s="365"/>
      <c r="HE10" s="365"/>
      <c r="HF10" s="365"/>
      <c r="HG10" s="365"/>
      <c r="HH10" s="365"/>
      <c r="HI10" s="365"/>
      <c r="HJ10" s="365"/>
      <c r="HK10" s="365"/>
      <c r="HL10" s="365"/>
      <c r="HM10" s="365"/>
      <c r="HN10" s="365"/>
      <c r="HO10" s="365"/>
      <c r="HP10" s="365"/>
      <c r="HQ10" s="365"/>
      <c r="HR10" s="365"/>
      <c r="HS10" s="365"/>
      <c r="HT10" s="365"/>
      <c r="HU10" s="365"/>
      <c r="HV10" s="365"/>
      <c r="HW10" s="365"/>
      <c r="HX10" s="365"/>
      <c r="HY10" s="365"/>
    </row>
    <row r="11" spans="1:233" ht="11.25" customHeight="1">
      <c r="A11" s="394"/>
      <c r="B11" s="144" t="s">
        <v>149</v>
      </c>
      <c r="C11" s="165">
        <f>'Existing Management Practices'!C11</f>
        <v>0.65</v>
      </c>
      <c r="D11" s="101" t="s">
        <v>286</v>
      </c>
      <c r="E11" s="61"/>
      <c r="F11" s="74"/>
      <c r="G11" s="377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5"/>
      <c r="AR11" s="365"/>
      <c r="AS11" s="365"/>
      <c r="AT11" s="365"/>
      <c r="AU11" s="365"/>
      <c r="AV11" s="365"/>
      <c r="AW11" s="365"/>
      <c r="AX11" s="365"/>
      <c r="AY11" s="365"/>
      <c r="AZ11" s="365"/>
      <c r="BA11" s="365"/>
      <c r="BB11" s="365"/>
      <c r="BC11" s="365"/>
      <c r="BD11" s="365"/>
      <c r="BE11" s="365"/>
      <c r="BF11" s="365"/>
      <c r="BG11" s="365"/>
      <c r="BH11" s="365"/>
      <c r="BI11" s="365"/>
      <c r="BJ11" s="365"/>
      <c r="BK11" s="365"/>
      <c r="BL11" s="365"/>
      <c r="BM11" s="365"/>
      <c r="BN11" s="365"/>
      <c r="BO11" s="365"/>
      <c r="BP11" s="365"/>
      <c r="BQ11" s="365"/>
      <c r="BR11" s="365"/>
      <c r="BS11" s="365"/>
      <c r="BT11" s="365"/>
      <c r="BU11" s="365"/>
      <c r="BV11" s="365"/>
      <c r="BW11" s="365"/>
      <c r="BX11" s="365"/>
      <c r="BY11" s="365"/>
      <c r="BZ11" s="365"/>
      <c r="CA11" s="365"/>
      <c r="CB11" s="365"/>
      <c r="CC11" s="365"/>
      <c r="CD11" s="365"/>
      <c r="CE11" s="365"/>
      <c r="CF11" s="365"/>
      <c r="CG11" s="365"/>
      <c r="CH11" s="365"/>
      <c r="CI11" s="365"/>
      <c r="CJ11" s="365"/>
      <c r="CK11" s="365"/>
      <c r="CL11" s="365"/>
      <c r="CM11" s="365"/>
      <c r="CN11" s="365"/>
      <c r="CO11" s="365"/>
      <c r="CP11" s="365"/>
      <c r="CQ11" s="365"/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365"/>
      <c r="DD11" s="365"/>
      <c r="DE11" s="365"/>
      <c r="DF11" s="365"/>
      <c r="DG11" s="365"/>
      <c r="DH11" s="365"/>
      <c r="DI11" s="365"/>
      <c r="DJ11" s="365"/>
      <c r="DK11" s="365"/>
      <c r="DL11" s="365"/>
      <c r="DM11" s="365"/>
      <c r="DN11" s="365"/>
      <c r="DO11" s="365"/>
      <c r="DP11" s="365"/>
      <c r="DQ11" s="365"/>
      <c r="DR11" s="365"/>
      <c r="DS11" s="365"/>
      <c r="DT11" s="365"/>
      <c r="DU11" s="365"/>
      <c r="DV11" s="365"/>
      <c r="DW11" s="365"/>
      <c r="DX11" s="365"/>
      <c r="DY11" s="365"/>
      <c r="DZ11" s="365"/>
      <c r="EA11" s="365"/>
      <c r="EB11" s="365"/>
      <c r="EC11" s="365"/>
      <c r="ED11" s="365"/>
      <c r="EE11" s="365"/>
      <c r="EF11" s="365"/>
      <c r="EG11" s="365"/>
      <c r="EH11" s="365"/>
      <c r="EI11" s="365"/>
      <c r="EJ11" s="365"/>
      <c r="EK11" s="365"/>
      <c r="EL11" s="365"/>
      <c r="EM11" s="365"/>
      <c r="EN11" s="365"/>
      <c r="EO11" s="365"/>
      <c r="EP11" s="365"/>
      <c r="EQ11" s="365"/>
      <c r="ER11" s="365"/>
      <c r="ES11" s="365"/>
      <c r="ET11" s="365"/>
      <c r="EU11" s="365"/>
      <c r="EV11" s="365"/>
      <c r="EW11" s="365"/>
      <c r="EX11" s="365"/>
      <c r="EY11" s="365"/>
      <c r="EZ11" s="365"/>
      <c r="FA11" s="365"/>
      <c r="FB11" s="365"/>
      <c r="FC11" s="365"/>
      <c r="FD11" s="365"/>
      <c r="FE11" s="365"/>
      <c r="FF11" s="365"/>
      <c r="FG11" s="365"/>
      <c r="FH11" s="365"/>
      <c r="FI11" s="365"/>
      <c r="FJ11" s="365"/>
      <c r="FK11" s="365"/>
      <c r="FL11" s="365"/>
      <c r="FM11" s="365"/>
      <c r="FN11" s="365"/>
      <c r="FO11" s="365"/>
      <c r="FP11" s="365"/>
      <c r="FQ11" s="365"/>
      <c r="FR11" s="365"/>
      <c r="FS11" s="365"/>
      <c r="FT11" s="365"/>
      <c r="FU11" s="365"/>
      <c r="FV11" s="365"/>
      <c r="FW11" s="365"/>
      <c r="FX11" s="365"/>
      <c r="FY11" s="365"/>
      <c r="FZ11" s="365"/>
      <c r="GA11" s="365"/>
      <c r="GB11" s="365"/>
      <c r="GC11" s="365"/>
      <c r="GD11" s="365"/>
      <c r="GE11" s="365"/>
      <c r="GF11" s="365"/>
      <c r="GG11" s="365"/>
      <c r="GH11" s="365"/>
      <c r="GI11" s="365"/>
      <c r="GJ11" s="365"/>
      <c r="GK11" s="365"/>
      <c r="GL11" s="365"/>
      <c r="GM11" s="365"/>
      <c r="GN11" s="365"/>
      <c r="GO11" s="365"/>
      <c r="GP11" s="365"/>
      <c r="GQ11" s="365"/>
      <c r="GR11" s="365"/>
      <c r="GS11" s="365"/>
      <c r="GT11" s="365"/>
      <c r="GU11" s="365"/>
      <c r="GV11" s="365"/>
      <c r="GW11" s="365"/>
      <c r="GX11" s="365"/>
      <c r="GY11" s="365"/>
      <c r="GZ11" s="365"/>
      <c r="HA11" s="365"/>
      <c r="HB11" s="365"/>
      <c r="HC11" s="365"/>
      <c r="HD11" s="365"/>
      <c r="HE11" s="365"/>
      <c r="HF11" s="365"/>
      <c r="HG11" s="365"/>
      <c r="HH11" s="365"/>
      <c r="HI11" s="365"/>
      <c r="HJ11" s="365"/>
      <c r="HK11" s="365"/>
      <c r="HL11" s="365"/>
      <c r="HM11" s="365"/>
      <c r="HN11" s="365"/>
      <c r="HO11" s="365"/>
      <c r="HP11" s="365"/>
      <c r="HQ11" s="365"/>
      <c r="HR11" s="365"/>
      <c r="HS11" s="365"/>
      <c r="HT11" s="365"/>
      <c r="HU11" s="365"/>
      <c r="HV11" s="365"/>
      <c r="HW11" s="365"/>
      <c r="HX11" s="365"/>
      <c r="HY11" s="365"/>
    </row>
    <row r="12" spans="1:233" ht="11.25" customHeight="1">
      <c r="A12" s="365"/>
      <c r="B12" s="78" t="s">
        <v>279</v>
      </c>
      <c r="C12" s="88">
        <f>'Existing Management Practices'!C12</f>
        <v>0</v>
      </c>
      <c r="D12" s="73" t="s">
        <v>287</v>
      </c>
      <c r="E12" s="61">
        <f>'Existing Management Practices'!E12</f>
        <v>0.03</v>
      </c>
      <c r="F12" s="74">
        <f>'Existing Management Practices'!F12</f>
        <v>0.1</v>
      </c>
      <c r="G12" s="377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  <c r="AQ12" s="365"/>
      <c r="AR12" s="365"/>
      <c r="AS12" s="365"/>
      <c r="AT12" s="365"/>
      <c r="AU12" s="365"/>
      <c r="AV12" s="365"/>
      <c r="AW12" s="365"/>
      <c r="AX12" s="365"/>
      <c r="AY12" s="365"/>
      <c r="AZ12" s="365"/>
      <c r="BA12" s="365"/>
      <c r="BB12" s="365"/>
      <c r="BC12" s="365"/>
      <c r="BD12" s="365"/>
      <c r="BE12" s="365"/>
      <c r="BF12" s="365"/>
      <c r="BG12" s="365"/>
      <c r="BH12" s="365"/>
      <c r="BI12" s="365"/>
      <c r="BJ12" s="365"/>
      <c r="BK12" s="365"/>
      <c r="BL12" s="365"/>
      <c r="BM12" s="365"/>
      <c r="BN12" s="365"/>
      <c r="BO12" s="365"/>
      <c r="BP12" s="365"/>
      <c r="BQ12" s="365"/>
      <c r="BR12" s="365"/>
      <c r="BS12" s="365"/>
      <c r="BT12" s="365"/>
      <c r="BU12" s="365"/>
      <c r="BV12" s="365"/>
      <c r="BW12" s="365"/>
      <c r="BX12" s="365"/>
      <c r="BY12" s="365"/>
      <c r="BZ12" s="365"/>
      <c r="CA12" s="365"/>
      <c r="CB12" s="365"/>
      <c r="CC12" s="365"/>
      <c r="CD12" s="365"/>
      <c r="CE12" s="365"/>
      <c r="CF12" s="365"/>
      <c r="CG12" s="365"/>
      <c r="CH12" s="365"/>
      <c r="CI12" s="365"/>
      <c r="CJ12" s="365"/>
      <c r="CK12" s="365"/>
      <c r="CL12" s="365"/>
      <c r="CM12" s="365"/>
      <c r="CN12" s="365"/>
      <c r="CO12" s="365"/>
      <c r="CP12" s="365"/>
      <c r="CQ12" s="365"/>
      <c r="CR12" s="365"/>
      <c r="CS12" s="365"/>
      <c r="CT12" s="365"/>
      <c r="CU12" s="365"/>
      <c r="CV12" s="365"/>
      <c r="CW12" s="365"/>
      <c r="CX12" s="365"/>
      <c r="CY12" s="365"/>
      <c r="CZ12" s="365"/>
      <c r="DA12" s="365"/>
      <c r="DB12" s="365"/>
      <c r="DC12" s="365"/>
      <c r="DD12" s="365"/>
      <c r="DE12" s="365"/>
      <c r="DF12" s="365"/>
      <c r="DG12" s="365"/>
      <c r="DH12" s="365"/>
      <c r="DI12" s="365"/>
      <c r="DJ12" s="365"/>
      <c r="DK12" s="365"/>
      <c r="DL12" s="365"/>
      <c r="DM12" s="365"/>
      <c r="DN12" s="365"/>
      <c r="DO12" s="365"/>
      <c r="DP12" s="365"/>
      <c r="DQ12" s="365"/>
      <c r="DR12" s="365"/>
      <c r="DS12" s="365"/>
      <c r="DT12" s="365"/>
      <c r="DU12" s="365"/>
      <c r="DV12" s="365"/>
      <c r="DW12" s="365"/>
      <c r="DX12" s="365"/>
      <c r="DY12" s="365"/>
      <c r="DZ12" s="365"/>
      <c r="EA12" s="365"/>
      <c r="EB12" s="365"/>
      <c r="EC12" s="365"/>
      <c r="ED12" s="365"/>
      <c r="EE12" s="365"/>
      <c r="EF12" s="365"/>
      <c r="EG12" s="365"/>
      <c r="EH12" s="365"/>
      <c r="EI12" s="365"/>
      <c r="EJ12" s="365"/>
      <c r="EK12" s="365"/>
      <c r="EL12" s="365"/>
      <c r="EM12" s="365"/>
      <c r="EN12" s="365"/>
      <c r="EO12" s="365"/>
      <c r="EP12" s="365"/>
      <c r="EQ12" s="365"/>
      <c r="ER12" s="365"/>
      <c r="ES12" s="365"/>
      <c r="ET12" s="365"/>
      <c r="EU12" s="365"/>
      <c r="EV12" s="365"/>
      <c r="EW12" s="365"/>
      <c r="EX12" s="365"/>
      <c r="EY12" s="365"/>
      <c r="EZ12" s="365"/>
      <c r="FA12" s="365"/>
      <c r="FB12" s="365"/>
      <c r="FC12" s="365"/>
      <c r="FD12" s="365"/>
      <c r="FE12" s="365"/>
      <c r="FF12" s="365"/>
      <c r="FG12" s="365"/>
      <c r="FH12" s="365"/>
      <c r="FI12" s="365"/>
      <c r="FJ12" s="365"/>
      <c r="FK12" s="365"/>
      <c r="FL12" s="365"/>
      <c r="FM12" s="365"/>
      <c r="FN12" s="365"/>
      <c r="FO12" s="365"/>
      <c r="FP12" s="365"/>
      <c r="FQ12" s="365"/>
      <c r="FR12" s="365"/>
      <c r="FS12" s="365"/>
      <c r="FT12" s="365"/>
      <c r="FU12" s="365"/>
      <c r="FV12" s="365"/>
      <c r="FW12" s="365"/>
      <c r="FX12" s="365"/>
      <c r="FY12" s="365"/>
      <c r="FZ12" s="365"/>
      <c r="GA12" s="365"/>
      <c r="GB12" s="365"/>
      <c r="GC12" s="365"/>
      <c r="GD12" s="365"/>
      <c r="GE12" s="365"/>
      <c r="GF12" s="365"/>
      <c r="GG12" s="365"/>
      <c r="GH12" s="365"/>
      <c r="GI12" s="365"/>
      <c r="GJ12" s="365"/>
      <c r="GK12" s="365"/>
      <c r="GL12" s="365"/>
      <c r="GM12" s="365"/>
      <c r="GN12" s="365"/>
      <c r="GO12" s="365"/>
      <c r="GP12" s="365"/>
      <c r="GQ12" s="365"/>
      <c r="GR12" s="365"/>
      <c r="GS12" s="365"/>
      <c r="GT12" s="365"/>
      <c r="GU12" s="365"/>
      <c r="GV12" s="365"/>
      <c r="GW12" s="365"/>
      <c r="GX12" s="365"/>
      <c r="GY12" s="365"/>
      <c r="GZ12" s="365"/>
      <c r="HA12" s="365"/>
      <c r="HB12" s="365"/>
      <c r="HC12" s="365"/>
      <c r="HD12" s="365"/>
      <c r="HE12" s="365"/>
      <c r="HF12" s="365"/>
      <c r="HG12" s="365"/>
      <c r="HH12" s="365"/>
      <c r="HI12" s="365"/>
      <c r="HJ12" s="365"/>
      <c r="HK12" s="365"/>
      <c r="HL12" s="365"/>
      <c r="HM12" s="365"/>
      <c r="HN12" s="365"/>
      <c r="HO12" s="365"/>
      <c r="HP12" s="365"/>
      <c r="HQ12" s="365"/>
      <c r="HR12" s="365"/>
      <c r="HS12" s="365"/>
      <c r="HT12" s="365"/>
      <c r="HU12" s="365"/>
      <c r="HV12" s="365"/>
      <c r="HW12" s="365"/>
      <c r="HX12" s="365"/>
      <c r="HY12" s="365"/>
    </row>
    <row r="13" spans="1:233" ht="11.25" customHeight="1">
      <c r="A13" s="365"/>
      <c r="B13" s="78" t="s">
        <v>255</v>
      </c>
      <c r="C13" s="155">
        <f>'Existing Management Practices'!C13</f>
        <v>0.7</v>
      </c>
      <c r="D13" s="73" t="s">
        <v>288</v>
      </c>
      <c r="E13" s="61">
        <f>'Existing Management Practices'!E13</f>
        <v>0.1</v>
      </c>
      <c r="F13" s="74">
        <f>'Existing Management Practices'!F13</f>
        <v>0.35</v>
      </c>
      <c r="G13" s="377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  <c r="AQ13" s="365"/>
      <c r="AR13" s="365"/>
      <c r="AS13" s="365"/>
      <c r="AT13" s="365"/>
      <c r="AU13" s="365"/>
      <c r="AV13" s="365"/>
      <c r="AW13" s="365"/>
      <c r="AX13" s="365"/>
      <c r="AY13" s="365"/>
      <c r="AZ13" s="365"/>
      <c r="BA13" s="365"/>
      <c r="BB13" s="365"/>
      <c r="BC13" s="365"/>
      <c r="BD13" s="365"/>
      <c r="BE13" s="365"/>
      <c r="BF13" s="365"/>
      <c r="BG13" s="365"/>
      <c r="BH13" s="365"/>
      <c r="BI13" s="365"/>
      <c r="BJ13" s="365"/>
      <c r="BK13" s="365"/>
      <c r="BL13" s="365"/>
      <c r="BM13" s="365"/>
      <c r="BN13" s="365"/>
      <c r="BO13" s="365"/>
      <c r="BP13" s="365"/>
      <c r="BQ13" s="365"/>
      <c r="BR13" s="365"/>
      <c r="BS13" s="365"/>
      <c r="BT13" s="365"/>
      <c r="BU13" s="365"/>
      <c r="BV13" s="365"/>
      <c r="BW13" s="365"/>
      <c r="BX13" s="365"/>
      <c r="BY13" s="365"/>
      <c r="BZ13" s="365"/>
      <c r="CA13" s="365"/>
      <c r="CB13" s="365"/>
      <c r="CC13" s="365"/>
      <c r="CD13" s="365"/>
      <c r="CE13" s="365"/>
      <c r="CF13" s="365"/>
      <c r="CG13" s="365"/>
      <c r="CH13" s="365"/>
      <c r="CI13" s="365"/>
      <c r="CJ13" s="365"/>
      <c r="CK13" s="365"/>
      <c r="CL13" s="365"/>
      <c r="CM13" s="365"/>
      <c r="CN13" s="365"/>
      <c r="CO13" s="365"/>
      <c r="CP13" s="365"/>
      <c r="CQ13" s="365"/>
      <c r="CR13" s="365"/>
      <c r="CS13" s="365"/>
      <c r="CT13" s="365"/>
      <c r="CU13" s="365"/>
      <c r="CV13" s="365"/>
      <c r="CW13" s="365"/>
      <c r="CX13" s="365"/>
      <c r="CY13" s="365"/>
      <c r="CZ13" s="365"/>
      <c r="DA13" s="365"/>
      <c r="DB13" s="365"/>
      <c r="DC13" s="365"/>
      <c r="DD13" s="365"/>
      <c r="DE13" s="365"/>
      <c r="DF13" s="365"/>
      <c r="DG13" s="365"/>
      <c r="DH13" s="365"/>
      <c r="DI13" s="365"/>
      <c r="DJ13" s="365"/>
      <c r="DK13" s="365"/>
      <c r="DL13" s="365"/>
      <c r="DM13" s="365"/>
      <c r="DN13" s="365"/>
      <c r="DO13" s="365"/>
      <c r="DP13" s="365"/>
      <c r="DQ13" s="365"/>
      <c r="DR13" s="365"/>
      <c r="DS13" s="365"/>
      <c r="DT13" s="365"/>
      <c r="DU13" s="365"/>
      <c r="DV13" s="365"/>
      <c r="DW13" s="365"/>
      <c r="DX13" s="365"/>
      <c r="DY13" s="365"/>
      <c r="DZ13" s="365"/>
      <c r="EA13" s="365"/>
      <c r="EB13" s="365"/>
      <c r="EC13" s="365"/>
      <c r="ED13" s="365"/>
      <c r="EE13" s="365"/>
      <c r="EF13" s="365"/>
      <c r="EG13" s="365"/>
      <c r="EH13" s="365"/>
      <c r="EI13" s="365"/>
      <c r="EJ13" s="365"/>
      <c r="EK13" s="365"/>
      <c r="EL13" s="365"/>
      <c r="EM13" s="365"/>
      <c r="EN13" s="365"/>
      <c r="EO13" s="365"/>
      <c r="EP13" s="365"/>
      <c r="EQ13" s="365"/>
      <c r="ER13" s="365"/>
      <c r="ES13" s="365"/>
      <c r="ET13" s="365"/>
      <c r="EU13" s="365"/>
      <c r="EV13" s="365"/>
      <c r="EW13" s="365"/>
      <c r="EX13" s="365"/>
      <c r="EY13" s="365"/>
      <c r="EZ13" s="365"/>
      <c r="FA13" s="365"/>
      <c r="FB13" s="365"/>
      <c r="FC13" s="365"/>
      <c r="FD13" s="365"/>
      <c r="FE13" s="365"/>
      <c r="FF13" s="365"/>
      <c r="FG13" s="365"/>
      <c r="FH13" s="365"/>
      <c r="FI13" s="365"/>
      <c r="FJ13" s="365"/>
      <c r="FK13" s="365"/>
      <c r="FL13" s="365"/>
      <c r="FM13" s="365"/>
      <c r="FN13" s="365"/>
      <c r="FO13" s="365"/>
      <c r="FP13" s="365"/>
      <c r="FQ13" s="365"/>
      <c r="FR13" s="365"/>
      <c r="FS13" s="365"/>
      <c r="FT13" s="365"/>
      <c r="FU13" s="365"/>
      <c r="FV13" s="365"/>
      <c r="FW13" s="365"/>
      <c r="FX13" s="365"/>
      <c r="FY13" s="365"/>
      <c r="FZ13" s="365"/>
      <c r="GA13" s="365"/>
      <c r="GB13" s="365"/>
      <c r="GC13" s="365"/>
      <c r="GD13" s="365"/>
      <c r="GE13" s="365"/>
      <c r="GF13" s="365"/>
      <c r="GG13" s="365"/>
      <c r="GH13" s="365"/>
      <c r="GI13" s="365"/>
      <c r="GJ13" s="365"/>
      <c r="GK13" s="365"/>
      <c r="GL13" s="365"/>
      <c r="GM13" s="365"/>
      <c r="GN13" s="365"/>
      <c r="GO13" s="365"/>
      <c r="GP13" s="365"/>
      <c r="GQ13" s="365"/>
      <c r="GR13" s="365"/>
      <c r="GS13" s="365"/>
      <c r="GT13" s="365"/>
      <c r="GU13" s="365"/>
      <c r="GV13" s="365"/>
      <c r="GW13" s="365"/>
      <c r="GX13" s="365"/>
      <c r="GY13" s="365"/>
      <c r="GZ13" s="365"/>
      <c r="HA13" s="365"/>
      <c r="HB13" s="365"/>
      <c r="HC13" s="365"/>
      <c r="HD13" s="365"/>
      <c r="HE13" s="365"/>
      <c r="HF13" s="365"/>
      <c r="HG13" s="365"/>
      <c r="HH13" s="365"/>
      <c r="HI13" s="365"/>
      <c r="HJ13" s="365"/>
      <c r="HK13" s="365"/>
      <c r="HL13" s="365"/>
      <c r="HM13" s="365"/>
      <c r="HN13" s="365"/>
      <c r="HO13" s="365"/>
      <c r="HP13" s="365"/>
      <c r="HQ13" s="365"/>
      <c r="HR13" s="365"/>
      <c r="HS13" s="365"/>
      <c r="HT13" s="365"/>
      <c r="HU13" s="365"/>
      <c r="HV13" s="365"/>
      <c r="HW13" s="365"/>
      <c r="HX13" s="365"/>
      <c r="HY13" s="365"/>
    </row>
    <row r="14" spans="1:233" ht="11.25" customHeight="1">
      <c r="A14" s="365"/>
      <c r="B14" s="484"/>
      <c r="C14" s="485"/>
      <c r="D14" s="73" t="s">
        <v>289</v>
      </c>
      <c r="E14" s="61">
        <f>'Existing Management Practices'!E14</f>
        <v>0.7</v>
      </c>
      <c r="F14" s="74">
        <f>'Existing Management Practices'!F14</f>
        <v>0.8</v>
      </c>
      <c r="G14" s="377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  <c r="AQ14" s="365"/>
      <c r="AR14" s="365"/>
      <c r="AS14" s="365"/>
      <c r="AT14" s="365"/>
      <c r="AU14" s="365"/>
      <c r="AV14" s="365"/>
      <c r="AW14" s="365"/>
      <c r="AX14" s="365"/>
      <c r="AY14" s="365"/>
      <c r="AZ14" s="365"/>
      <c r="BA14" s="365"/>
      <c r="BB14" s="365"/>
      <c r="BC14" s="365"/>
      <c r="BD14" s="365"/>
      <c r="BE14" s="365"/>
      <c r="BF14" s="365"/>
      <c r="BG14" s="365"/>
      <c r="BH14" s="365"/>
      <c r="BI14" s="365"/>
      <c r="BJ14" s="365"/>
      <c r="BK14" s="365"/>
      <c r="BL14" s="365"/>
      <c r="BM14" s="365"/>
      <c r="BN14" s="365"/>
      <c r="BO14" s="365"/>
      <c r="BP14" s="365"/>
      <c r="BQ14" s="365"/>
      <c r="BR14" s="365"/>
      <c r="BS14" s="365"/>
      <c r="BT14" s="365"/>
      <c r="BU14" s="365"/>
      <c r="BV14" s="365"/>
      <c r="BW14" s="365"/>
      <c r="BX14" s="365"/>
      <c r="BY14" s="365"/>
      <c r="BZ14" s="365"/>
      <c r="CA14" s="365"/>
      <c r="CB14" s="365"/>
      <c r="CC14" s="365"/>
      <c r="CD14" s="365"/>
      <c r="CE14" s="365"/>
      <c r="CF14" s="365"/>
      <c r="CG14" s="365"/>
      <c r="CH14" s="365"/>
      <c r="CI14" s="365"/>
      <c r="CJ14" s="365"/>
      <c r="CK14" s="365"/>
      <c r="CL14" s="365"/>
      <c r="CM14" s="365"/>
      <c r="CN14" s="365"/>
      <c r="CO14" s="365"/>
      <c r="CP14" s="365"/>
      <c r="CQ14" s="365"/>
      <c r="CR14" s="365"/>
      <c r="CS14" s="365"/>
      <c r="CT14" s="365"/>
      <c r="CU14" s="365"/>
      <c r="CV14" s="365"/>
      <c r="CW14" s="365"/>
      <c r="CX14" s="365"/>
      <c r="CY14" s="365"/>
      <c r="CZ14" s="365"/>
      <c r="DA14" s="365"/>
      <c r="DB14" s="365"/>
      <c r="DC14" s="365"/>
      <c r="DD14" s="365"/>
      <c r="DE14" s="365"/>
      <c r="DF14" s="365"/>
      <c r="DG14" s="365"/>
      <c r="DH14" s="365"/>
      <c r="DI14" s="365"/>
      <c r="DJ14" s="365"/>
      <c r="DK14" s="365"/>
      <c r="DL14" s="365"/>
      <c r="DM14" s="365"/>
      <c r="DN14" s="365"/>
      <c r="DO14" s="365"/>
      <c r="DP14" s="365"/>
      <c r="DQ14" s="365"/>
      <c r="DR14" s="365"/>
      <c r="DS14" s="365"/>
      <c r="DT14" s="365"/>
      <c r="DU14" s="365"/>
      <c r="DV14" s="365"/>
      <c r="DW14" s="365"/>
      <c r="DX14" s="365"/>
      <c r="DY14" s="365"/>
      <c r="DZ14" s="365"/>
      <c r="EA14" s="365"/>
      <c r="EB14" s="365"/>
      <c r="EC14" s="365"/>
      <c r="ED14" s="365"/>
      <c r="EE14" s="365"/>
      <c r="EF14" s="365"/>
      <c r="EG14" s="365"/>
      <c r="EH14" s="365"/>
      <c r="EI14" s="365"/>
      <c r="EJ14" s="365"/>
      <c r="EK14" s="365"/>
      <c r="EL14" s="365"/>
      <c r="EM14" s="365"/>
      <c r="EN14" s="365"/>
      <c r="EO14" s="365"/>
      <c r="EP14" s="365"/>
      <c r="EQ14" s="365"/>
      <c r="ER14" s="365"/>
      <c r="ES14" s="365"/>
      <c r="ET14" s="365"/>
      <c r="EU14" s="365"/>
      <c r="EV14" s="365"/>
      <c r="EW14" s="365"/>
      <c r="EX14" s="365"/>
      <c r="EY14" s="365"/>
      <c r="EZ14" s="365"/>
      <c r="FA14" s="365"/>
      <c r="FB14" s="365"/>
      <c r="FC14" s="365"/>
      <c r="FD14" s="365"/>
      <c r="FE14" s="365"/>
      <c r="FF14" s="365"/>
      <c r="FG14" s="365"/>
      <c r="FH14" s="365"/>
      <c r="FI14" s="365"/>
      <c r="FJ14" s="365"/>
      <c r="FK14" s="365"/>
      <c r="FL14" s="365"/>
      <c r="FM14" s="365"/>
      <c r="FN14" s="365"/>
      <c r="FO14" s="365"/>
      <c r="FP14" s="365"/>
      <c r="FQ14" s="365"/>
      <c r="FR14" s="365"/>
      <c r="FS14" s="365"/>
      <c r="FT14" s="365"/>
      <c r="FU14" s="365"/>
      <c r="FV14" s="365"/>
      <c r="FW14" s="365"/>
      <c r="FX14" s="365"/>
      <c r="FY14" s="365"/>
      <c r="FZ14" s="365"/>
      <c r="GA14" s="365"/>
      <c r="GB14" s="365"/>
      <c r="GC14" s="365"/>
      <c r="GD14" s="365"/>
      <c r="GE14" s="365"/>
      <c r="GF14" s="365"/>
      <c r="GG14" s="365"/>
      <c r="GH14" s="365"/>
      <c r="GI14" s="365"/>
      <c r="GJ14" s="365"/>
      <c r="GK14" s="365"/>
      <c r="GL14" s="365"/>
      <c r="GM14" s="365"/>
      <c r="GN14" s="365"/>
      <c r="GO14" s="365"/>
      <c r="GP14" s="365"/>
      <c r="GQ14" s="365"/>
      <c r="GR14" s="365"/>
      <c r="GS14" s="365"/>
      <c r="GT14" s="365"/>
      <c r="GU14" s="365"/>
      <c r="GV14" s="365"/>
      <c r="GW14" s="365"/>
      <c r="GX14" s="365"/>
      <c r="GY14" s="365"/>
      <c r="GZ14" s="365"/>
      <c r="HA14" s="365"/>
      <c r="HB14" s="365"/>
      <c r="HC14" s="365"/>
      <c r="HD14" s="365"/>
      <c r="HE14" s="365"/>
      <c r="HF14" s="365"/>
      <c r="HG14" s="365"/>
      <c r="HH14" s="365"/>
      <c r="HI14" s="365"/>
      <c r="HJ14" s="365"/>
      <c r="HK14" s="365"/>
      <c r="HL14" s="365"/>
      <c r="HM14" s="365"/>
      <c r="HN14" s="365"/>
      <c r="HO14" s="365"/>
      <c r="HP14" s="365"/>
      <c r="HQ14" s="365"/>
      <c r="HR14" s="365"/>
      <c r="HS14" s="365"/>
      <c r="HT14" s="365"/>
      <c r="HU14" s="365"/>
      <c r="HV14" s="365"/>
      <c r="HW14" s="365"/>
      <c r="HX14" s="365"/>
      <c r="HY14" s="365"/>
    </row>
    <row r="15" spans="2:6" s="365" customFormat="1" ht="18" customHeight="1" thickBot="1">
      <c r="B15" s="486"/>
      <c r="C15" s="487"/>
      <c r="D15" s="66" t="s">
        <v>290</v>
      </c>
      <c r="E15" s="379">
        <f>'Existing Management Practices'!E15</f>
        <v>0.9</v>
      </c>
      <c r="F15" s="75">
        <f>'Existing Management Practices'!F15</f>
        <v>0.95</v>
      </c>
    </row>
    <row r="16" spans="2:6" s="365" customFormat="1" ht="18" customHeight="1" thickBot="1" thickTop="1">
      <c r="B16" s="519"/>
      <c r="C16" s="522"/>
      <c r="D16" s="523"/>
      <c r="E16" s="520">
        <f>SUMPRODUCT(E12:E15,'Secondary Sources'!C66:C69)</f>
        <v>0</v>
      </c>
      <c r="F16" s="521">
        <f>SUMPRODUCT(F12:F15,'Secondary Sources'!C66:C69)</f>
        <v>0</v>
      </c>
    </row>
    <row r="17" spans="3:6" s="365" customFormat="1" ht="18" customHeight="1" thickBot="1" thickTop="1">
      <c r="C17" s="512"/>
      <c r="D17" s="512"/>
      <c r="E17" s="489"/>
      <c r="F17" s="377"/>
    </row>
    <row r="18" spans="1:233" ht="21.75" thickBot="1" thickTop="1">
      <c r="A18" s="365"/>
      <c r="B18" s="483" t="s">
        <v>105</v>
      </c>
      <c r="C18" s="443"/>
      <c r="D18" s="443"/>
      <c r="E18" s="444"/>
      <c r="F18" s="377"/>
      <c r="G18" s="377"/>
      <c r="H18" s="365"/>
      <c r="I18" s="365"/>
      <c r="J18" s="365"/>
      <c r="K18" s="365"/>
      <c r="L18" s="365"/>
      <c r="M18" s="365"/>
      <c r="N18" s="365"/>
      <c r="O18" s="365"/>
      <c r="P18" s="365"/>
      <c r="Q18" s="365"/>
      <c r="R18" s="365"/>
      <c r="S18" s="365"/>
      <c r="T18" s="365"/>
      <c r="U18" s="365"/>
      <c r="V18" s="365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5"/>
      <c r="AH18" s="365"/>
      <c r="AI18" s="365"/>
      <c r="AJ18" s="365"/>
      <c r="AK18" s="365"/>
      <c r="AL18" s="365"/>
      <c r="AM18" s="365"/>
      <c r="AN18" s="365"/>
      <c r="AO18" s="365"/>
      <c r="AP18" s="365"/>
      <c r="AQ18" s="365"/>
      <c r="AR18" s="365"/>
      <c r="AS18" s="365"/>
      <c r="AT18" s="365"/>
      <c r="AU18" s="365"/>
      <c r="AV18" s="365"/>
      <c r="AW18" s="365"/>
      <c r="AX18" s="365"/>
      <c r="AY18" s="365"/>
      <c r="AZ18" s="365"/>
      <c r="BA18" s="365"/>
      <c r="BB18" s="365"/>
      <c r="BC18" s="365"/>
      <c r="BD18" s="365"/>
      <c r="BE18" s="365"/>
      <c r="BF18" s="365"/>
      <c r="BG18" s="365"/>
      <c r="BH18" s="365"/>
      <c r="BI18" s="365"/>
      <c r="BJ18" s="365"/>
      <c r="BK18" s="365"/>
      <c r="BL18" s="365"/>
      <c r="BM18" s="365"/>
      <c r="BN18" s="365"/>
      <c r="BO18" s="365"/>
      <c r="BP18" s="365"/>
      <c r="BQ18" s="365"/>
      <c r="BR18" s="365"/>
      <c r="BS18" s="365"/>
      <c r="BT18" s="365"/>
      <c r="BU18" s="365"/>
      <c r="BV18" s="365"/>
      <c r="BW18" s="365"/>
      <c r="BX18" s="365"/>
      <c r="BY18" s="365"/>
      <c r="BZ18" s="365"/>
      <c r="CA18" s="365"/>
      <c r="CB18" s="365"/>
      <c r="CC18" s="365"/>
      <c r="CD18" s="365"/>
      <c r="CE18" s="365"/>
      <c r="CF18" s="365"/>
      <c r="CG18" s="365"/>
      <c r="CH18" s="365"/>
      <c r="CI18" s="365"/>
      <c r="CJ18" s="365"/>
      <c r="CK18" s="365"/>
      <c r="CL18" s="365"/>
      <c r="CM18" s="365"/>
      <c r="CN18" s="365"/>
      <c r="CO18" s="365"/>
      <c r="CP18" s="365"/>
      <c r="CQ18" s="365"/>
      <c r="CR18" s="365"/>
      <c r="CS18" s="365"/>
      <c r="CT18" s="365"/>
      <c r="CU18" s="365"/>
      <c r="CV18" s="365"/>
      <c r="CW18" s="365"/>
      <c r="CX18" s="365"/>
      <c r="CY18" s="365"/>
      <c r="CZ18" s="365"/>
      <c r="DA18" s="365"/>
      <c r="DB18" s="365"/>
      <c r="DC18" s="365"/>
      <c r="DD18" s="365"/>
      <c r="DE18" s="365"/>
      <c r="DF18" s="365"/>
      <c r="DG18" s="365"/>
      <c r="DH18" s="365"/>
      <c r="DI18" s="365"/>
      <c r="DJ18" s="365"/>
      <c r="DK18" s="365"/>
      <c r="DL18" s="365"/>
      <c r="DM18" s="365"/>
      <c r="DN18" s="365"/>
      <c r="DO18" s="365"/>
      <c r="DP18" s="365"/>
      <c r="DQ18" s="365"/>
      <c r="DR18" s="365"/>
      <c r="DS18" s="365"/>
      <c r="DT18" s="365"/>
      <c r="DU18" s="365"/>
      <c r="DV18" s="365"/>
      <c r="DW18" s="365"/>
      <c r="DX18" s="365"/>
      <c r="DY18" s="365"/>
      <c r="DZ18" s="365"/>
      <c r="EA18" s="365"/>
      <c r="EB18" s="365"/>
      <c r="EC18" s="365"/>
      <c r="ED18" s="365"/>
      <c r="EE18" s="365"/>
      <c r="EF18" s="365"/>
      <c r="EG18" s="365"/>
      <c r="EH18" s="365"/>
      <c r="EI18" s="365"/>
      <c r="EJ18" s="365"/>
      <c r="EK18" s="365"/>
      <c r="EL18" s="365"/>
      <c r="EM18" s="365"/>
      <c r="EN18" s="365"/>
      <c r="EO18" s="365"/>
      <c r="EP18" s="365"/>
      <c r="EQ18" s="365"/>
      <c r="ER18" s="365"/>
      <c r="ES18" s="365"/>
      <c r="ET18" s="365"/>
      <c r="EU18" s="365"/>
      <c r="EV18" s="365"/>
      <c r="EW18" s="365"/>
      <c r="EX18" s="365"/>
      <c r="EY18" s="365"/>
      <c r="EZ18" s="365"/>
      <c r="FA18" s="365"/>
      <c r="FB18" s="365"/>
      <c r="FC18" s="365"/>
      <c r="FD18" s="365"/>
      <c r="FE18" s="365"/>
      <c r="FF18" s="365"/>
      <c r="FG18" s="365"/>
      <c r="FH18" s="365"/>
      <c r="FI18" s="365"/>
      <c r="FJ18" s="365"/>
      <c r="FK18" s="365"/>
      <c r="FL18" s="365"/>
      <c r="FM18" s="365"/>
      <c r="FN18" s="365"/>
      <c r="FO18" s="365"/>
      <c r="FP18" s="365"/>
      <c r="FQ18" s="365"/>
      <c r="FR18" s="365"/>
      <c r="FS18" s="365"/>
      <c r="FT18" s="365"/>
      <c r="FU18" s="365"/>
      <c r="FV18" s="365"/>
      <c r="FW18" s="365"/>
      <c r="FX18" s="365"/>
      <c r="FY18" s="365"/>
      <c r="FZ18" s="365"/>
      <c r="GA18" s="365"/>
      <c r="GB18" s="365"/>
      <c r="GC18" s="365"/>
      <c r="GD18" s="365"/>
      <c r="GE18" s="365"/>
      <c r="GF18" s="365"/>
      <c r="GG18" s="365"/>
      <c r="GH18" s="365"/>
      <c r="GI18" s="365"/>
      <c r="GJ18" s="365"/>
      <c r="GK18" s="365"/>
      <c r="GL18" s="365"/>
      <c r="GM18" s="365"/>
      <c r="GN18" s="365"/>
      <c r="GO18" s="365"/>
      <c r="GP18" s="365"/>
      <c r="GQ18" s="365"/>
      <c r="GR18" s="365"/>
      <c r="GS18" s="365"/>
      <c r="GT18" s="365"/>
      <c r="GU18" s="365"/>
      <c r="GV18" s="365"/>
      <c r="GW18" s="365"/>
      <c r="GX18" s="365"/>
      <c r="GY18" s="365"/>
      <c r="GZ18" s="365"/>
      <c r="HA18" s="365"/>
      <c r="HB18" s="365"/>
      <c r="HC18" s="365"/>
      <c r="HD18" s="365"/>
      <c r="HE18" s="365"/>
      <c r="HF18" s="365"/>
      <c r="HG18" s="365"/>
      <c r="HH18" s="365"/>
      <c r="HI18" s="365"/>
      <c r="HJ18" s="365"/>
      <c r="HK18" s="365"/>
      <c r="HL18" s="365"/>
      <c r="HM18" s="365"/>
      <c r="HN18" s="365"/>
      <c r="HO18" s="365"/>
      <c r="HP18" s="365"/>
      <c r="HQ18" s="365"/>
      <c r="HR18" s="365"/>
      <c r="HS18" s="365"/>
      <c r="HT18" s="365"/>
      <c r="HU18" s="365"/>
      <c r="HV18" s="365"/>
      <c r="HW18" s="365"/>
      <c r="HX18" s="365"/>
      <c r="HY18" s="365"/>
    </row>
    <row r="19" spans="1:233" ht="12.75">
      <c r="A19" s="394"/>
      <c r="B19" s="68"/>
      <c r="C19" s="87"/>
      <c r="D19" s="89"/>
      <c r="E19" s="43"/>
      <c r="F19" s="377"/>
      <c r="G19" s="377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  <c r="AQ19" s="365"/>
      <c r="AR19" s="365"/>
      <c r="AS19" s="365"/>
      <c r="AT19" s="365"/>
      <c r="AU19" s="365"/>
      <c r="AV19" s="365"/>
      <c r="AW19" s="365"/>
      <c r="AX19" s="365"/>
      <c r="AY19" s="365"/>
      <c r="AZ19" s="365"/>
      <c r="BA19" s="365"/>
      <c r="BB19" s="365"/>
      <c r="BC19" s="365"/>
      <c r="BD19" s="365"/>
      <c r="BE19" s="365"/>
      <c r="BF19" s="365"/>
      <c r="BG19" s="365"/>
      <c r="BH19" s="365"/>
      <c r="BI19" s="365"/>
      <c r="BJ19" s="365"/>
      <c r="BK19" s="365"/>
      <c r="BL19" s="365"/>
      <c r="BM19" s="365"/>
      <c r="BN19" s="365"/>
      <c r="BO19" s="365"/>
      <c r="BP19" s="365"/>
      <c r="BQ19" s="365"/>
      <c r="BR19" s="365"/>
      <c r="BS19" s="365"/>
      <c r="BT19" s="365"/>
      <c r="BU19" s="365"/>
      <c r="BV19" s="365"/>
      <c r="BW19" s="365"/>
      <c r="BX19" s="365"/>
      <c r="BY19" s="365"/>
      <c r="BZ19" s="365"/>
      <c r="CA19" s="365"/>
      <c r="CB19" s="365"/>
      <c r="CC19" s="365"/>
      <c r="CD19" s="365"/>
      <c r="CE19" s="365"/>
      <c r="CF19" s="365"/>
      <c r="CG19" s="365"/>
      <c r="CH19" s="365"/>
      <c r="CI19" s="365"/>
      <c r="CJ19" s="365"/>
      <c r="CK19" s="365"/>
      <c r="CL19" s="365"/>
      <c r="CM19" s="365"/>
      <c r="CN19" s="365"/>
      <c r="CO19" s="365"/>
      <c r="CP19" s="365"/>
      <c r="CQ19" s="365"/>
      <c r="CR19" s="365"/>
      <c r="CS19" s="365"/>
      <c r="CT19" s="365"/>
      <c r="CU19" s="365"/>
      <c r="CV19" s="365"/>
      <c r="CW19" s="365"/>
      <c r="CX19" s="365"/>
      <c r="CY19" s="365"/>
      <c r="CZ19" s="365"/>
      <c r="DA19" s="365"/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65"/>
      <c r="DM19" s="365"/>
      <c r="DN19" s="365"/>
      <c r="DO19" s="365"/>
      <c r="DP19" s="365"/>
      <c r="DQ19" s="365"/>
      <c r="DR19" s="365"/>
      <c r="DS19" s="365"/>
      <c r="DT19" s="365"/>
      <c r="DU19" s="365"/>
      <c r="DV19" s="365"/>
      <c r="DW19" s="365"/>
      <c r="DX19" s="365"/>
      <c r="DY19" s="365"/>
      <c r="DZ19" s="365"/>
      <c r="EA19" s="365"/>
      <c r="EB19" s="365"/>
      <c r="EC19" s="365"/>
      <c r="ED19" s="365"/>
      <c r="EE19" s="365"/>
      <c r="EF19" s="365"/>
      <c r="EG19" s="365"/>
      <c r="EH19" s="365"/>
      <c r="EI19" s="365"/>
      <c r="EJ19" s="365"/>
      <c r="EK19" s="365"/>
      <c r="EL19" s="365"/>
      <c r="EM19" s="365"/>
      <c r="EN19" s="365"/>
      <c r="EO19" s="365"/>
      <c r="EP19" s="365"/>
      <c r="EQ19" s="365"/>
      <c r="ER19" s="365"/>
      <c r="ES19" s="365"/>
      <c r="ET19" s="365"/>
      <c r="EU19" s="365"/>
      <c r="EV19" s="365"/>
      <c r="EW19" s="365"/>
      <c r="EX19" s="365"/>
      <c r="EY19" s="365"/>
      <c r="EZ19" s="365"/>
      <c r="FA19" s="365"/>
      <c r="FB19" s="365"/>
      <c r="FC19" s="365"/>
      <c r="FD19" s="365"/>
      <c r="FE19" s="365"/>
      <c r="FF19" s="365"/>
      <c r="FG19" s="365"/>
      <c r="FH19" s="365"/>
      <c r="FI19" s="365"/>
      <c r="FJ19" s="365"/>
      <c r="FK19" s="365"/>
      <c r="FL19" s="365"/>
      <c r="FM19" s="365"/>
      <c r="FN19" s="365"/>
      <c r="FO19" s="365"/>
      <c r="FP19" s="365"/>
      <c r="FQ19" s="365"/>
      <c r="FR19" s="365"/>
      <c r="FS19" s="365"/>
      <c r="FT19" s="365"/>
      <c r="FU19" s="365"/>
      <c r="FV19" s="365"/>
      <c r="FW19" s="365"/>
      <c r="FX19" s="365"/>
      <c r="FY19" s="365"/>
      <c r="FZ19" s="365"/>
      <c r="GA19" s="365"/>
      <c r="GB19" s="365"/>
      <c r="GC19" s="365"/>
      <c r="GD19" s="365"/>
      <c r="GE19" s="365"/>
      <c r="GF19" s="365"/>
      <c r="GG19" s="365"/>
      <c r="GH19" s="365"/>
      <c r="GI19" s="365"/>
      <c r="GJ19" s="365"/>
      <c r="GK19" s="365"/>
      <c r="GL19" s="365"/>
      <c r="GM19" s="365"/>
      <c r="GN19" s="365"/>
      <c r="GO19" s="365"/>
      <c r="GP19" s="365"/>
      <c r="GQ19" s="365"/>
      <c r="GR19" s="365"/>
      <c r="GS19" s="365"/>
      <c r="GT19" s="365"/>
      <c r="GU19" s="365"/>
      <c r="GV19" s="365"/>
      <c r="GW19" s="365"/>
      <c r="GX19" s="365"/>
      <c r="GY19" s="365"/>
      <c r="GZ19" s="365"/>
      <c r="HA19" s="365"/>
      <c r="HB19" s="365"/>
      <c r="HC19" s="365"/>
      <c r="HD19" s="365"/>
      <c r="HE19" s="365"/>
      <c r="HF19" s="365"/>
      <c r="HG19" s="365"/>
      <c r="HH19" s="365"/>
      <c r="HI19" s="365"/>
      <c r="HJ19" s="365"/>
      <c r="HK19" s="365"/>
      <c r="HL19" s="365"/>
      <c r="HM19" s="365"/>
      <c r="HN19" s="365"/>
      <c r="HO19" s="365"/>
      <c r="HP19" s="365"/>
      <c r="HQ19" s="365"/>
      <c r="HR19" s="365"/>
      <c r="HS19" s="365"/>
      <c r="HT19" s="365"/>
      <c r="HU19" s="365"/>
      <c r="HV19" s="365"/>
      <c r="HW19" s="365"/>
      <c r="HX19" s="365"/>
      <c r="HY19" s="365"/>
    </row>
    <row r="20" spans="1:233" ht="12.75">
      <c r="A20" s="394"/>
      <c r="B20" s="78" t="s">
        <v>106</v>
      </c>
      <c r="C20" s="88">
        <f>'Existing Management Practices'!C20</f>
        <v>0</v>
      </c>
      <c r="D20" s="494"/>
      <c r="E20" s="492"/>
      <c r="F20" s="431"/>
      <c r="G20" s="377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  <c r="AQ20" s="365"/>
      <c r="AR20" s="365"/>
      <c r="AS20" s="365"/>
      <c r="AT20" s="365"/>
      <c r="AU20" s="365"/>
      <c r="AV20" s="365"/>
      <c r="AW20" s="365"/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BU20" s="365"/>
      <c r="BV20" s="365"/>
      <c r="BW20" s="365"/>
      <c r="BX20" s="365"/>
      <c r="BY20" s="365"/>
      <c r="BZ20" s="365"/>
      <c r="CA20" s="365"/>
      <c r="CB20" s="365"/>
      <c r="CC20" s="365"/>
      <c r="CD20" s="365"/>
      <c r="CE20" s="365"/>
      <c r="CF20" s="365"/>
      <c r="CG20" s="365"/>
      <c r="CH20" s="365"/>
      <c r="CI20" s="365"/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/>
      <c r="CU20" s="365"/>
      <c r="CV20" s="365"/>
      <c r="CW20" s="365"/>
      <c r="CX20" s="365"/>
      <c r="CY20" s="365"/>
      <c r="CZ20" s="365"/>
      <c r="DA20" s="365"/>
      <c r="DB20" s="365"/>
      <c r="DC20" s="365"/>
      <c r="DD20" s="365"/>
      <c r="DE20" s="365"/>
      <c r="DF20" s="365"/>
      <c r="DG20" s="365"/>
      <c r="DH20" s="365"/>
      <c r="DI20" s="365"/>
      <c r="DJ20" s="365"/>
      <c r="DK20" s="365"/>
      <c r="DL20" s="365"/>
      <c r="DM20" s="365"/>
      <c r="DN20" s="365"/>
      <c r="DO20" s="365"/>
      <c r="DP20" s="365"/>
      <c r="DQ20" s="365"/>
      <c r="DR20" s="365"/>
      <c r="DS20" s="365"/>
      <c r="DT20" s="365"/>
      <c r="DU20" s="365"/>
      <c r="DV20" s="365"/>
      <c r="DW20" s="365"/>
      <c r="DX20" s="365"/>
      <c r="DY20" s="365"/>
      <c r="DZ20" s="365"/>
      <c r="EA20" s="365"/>
      <c r="EB20" s="365"/>
      <c r="EC20" s="365"/>
      <c r="ED20" s="365"/>
      <c r="EE20" s="365"/>
      <c r="EF20" s="365"/>
      <c r="EG20" s="365"/>
      <c r="EH20" s="365"/>
      <c r="EI20" s="365"/>
      <c r="EJ20" s="365"/>
      <c r="EK20" s="365"/>
      <c r="EL20" s="365"/>
      <c r="EM20" s="365"/>
      <c r="EN20" s="365"/>
      <c r="EO20" s="365"/>
      <c r="EP20" s="365"/>
      <c r="EQ20" s="365"/>
      <c r="ER20" s="365"/>
      <c r="ES20" s="365"/>
      <c r="ET20" s="365"/>
      <c r="EU20" s="365"/>
      <c r="EV20" s="365"/>
      <c r="EW20" s="365"/>
      <c r="EX20" s="365"/>
      <c r="EY20" s="365"/>
      <c r="EZ20" s="365"/>
      <c r="FA20" s="365"/>
      <c r="FB20" s="365"/>
      <c r="FC20" s="365"/>
      <c r="FD20" s="365"/>
      <c r="FE20" s="365"/>
      <c r="FF20" s="365"/>
      <c r="FG20" s="365"/>
      <c r="FH20" s="365"/>
      <c r="FI20" s="365"/>
      <c r="FJ20" s="365"/>
      <c r="FK20" s="365"/>
      <c r="FL20" s="365"/>
      <c r="FM20" s="365"/>
      <c r="FN20" s="365"/>
      <c r="FO20" s="365"/>
      <c r="FP20" s="365"/>
      <c r="FQ20" s="365"/>
      <c r="FR20" s="365"/>
      <c r="FS20" s="365"/>
      <c r="FT20" s="365"/>
      <c r="FU20" s="365"/>
      <c r="FV20" s="365"/>
      <c r="FW20" s="365"/>
      <c r="FX20" s="365"/>
      <c r="FY20" s="365"/>
      <c r="FZ20" s="365"/>
      <c r="GA20" s="365"/>
      <c r="GB20" s="365"/>
      <c r="GC20" s="365"/>
      <c r="GD20" s="365"/>
      <c r="GE20" s="365"/>
      <c r="GF20" s="365"/>
      <c r="GG20" s="365"/>
      <c r="GH20" s="365"/>
      <c r="GI20" s="365"/>
      <c r="GJ20" s="365"/>
      <c r="GK20" s="365"/>
      <c r="GL20" s="365"/>
      <c r="GM20" s="365"/>
      <c r="GN20" s="365"/>
      <c r="GO20" s="365"/>
      <c r="GP20" s="365"/>
      <c r="GQ20" s="365"/>
      <c r="GR20" s="365"/>
      <c r="GS20" s="365"/>
      <c r="GT20" s="365"/>
      <c r="GU20" s="365"/>
      <c r="GV20" s="365"/>
      <c r="GW20" s="365"/>
      <c r="GX20" s="365"/>
      <c r="GY20" s="365"/>
      <c r="GZ20" s="365"/>
      <c r="HA20" s="365"/>
      <c r="HB20" s="365"/>
      <c r="HC20" s="365"/>
      <c r="HD20" s="365"/>
      <c r="HE20" s="365"/>
      <c r="HF20" s="365"/>
      <c r="HG20" s="365"/>
      <c r="HH20" s="365"/>
      <c r="HI20" s="365"/>
      <c r="HJ20" s="365"/>
      <c r="HK20" s="365"/>
      <c r="HL20" s="365"/>
      <c r="HM20" s="365"/>
      <c r="HN20" s="365"/>
      <c r="HO20" s="365"/>
      <c r="HP20" s="365"/>
      <c r="HQ20" s="365"/>
      <c r="HR20" s="365"/>
      <c r="HS20" s="365"/>
      <c r="HT20" s="365"/>
      <c r="HU20" s="365"/>
      <c r="HV20" s="365"/>
      <c r="HW20" s="365"/>
      <c r="HX20" s="365"/>
      <c r="HY20" s="365"/>
    </row>
    <row r="21" spans="1:233" ht="12.75">
      <c r="A21" s="394"/>
      <c r="B21" s="484"/>
      <c r="C21" s="485"/>
      <c r="D21" s="494"/>
      <c r="E21" s="492"/>
      <c r="F21" s="431"/>
      <c r="G21" s="377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5"/>
      <c r="CD21" s="365"/>
      <c r="CE21" s="365"/>
      <c r="CF21" s="365"/>
      <c r="CG21" s="365"/>
      <c r="CH21" s="365"/>
      <c r="CI21" s="365"/>
      <c r="CJ21" s="365"/>
      <c r="CK21" s="365"/>
      <c r="CL21" s="365"/>
      <c r="CM21" s="365"/>
      <c r="CN21" s="365"/>
      <c r="CO21" s="365"/>
      <c r="CP21" s="365"/>
      <c r="CQ21" s="365"/>
      <c r="CR21" s="365"/>
      <c r="CS21" s="365"/>
      <c r="CT21" s="365"/>
      <c r="CU21" s="365"/>
      <c r="CV21" s="365"/>
      <c r="CW21" s="365"/>
      <c r="CX21" s="365"/>
      <c r="CY21" s="365"/>
      <c r="CZ21" s="365"/>
      <c r="DA21" s="365"/>
      <c r="DB21" s="365"/>
      <c r="DC21" s="365"/>
      <c r="DD21" s="365"/>
      <c r="DE21" s="365"/>
      <c r="DF21" s="365"/>
      <c r="DG21" s="365"/>
      <c r="DH21" s="365"/>
      <c r="DI21" s="365"/>
      <c r="DJ21" s="365"/>
      <c r="DK21" s="365"/>
      <c r="DL21" s="365"/>
      <c r="DM21" s="365"/>
      <c r="DN21" s="365"/>
      <c r="DO21" s="365"/>
      <c r="DP21" s="365"/>
      <c r="DQ21" s="365"/>
      <c r="DR21" s="365"/>
      <c r="DS21" s="365"/>
      <c r="DT21" s="365"/>
      <c r="DU21" s="365"/>
      <c r="DV21" s="365"/>
      <c r="DW21" s="365"/>
      <c r="DX21" s="365"/>
      <c r="DY21" s="365"/>
      <c r="DZ21" s="365"/>
      <c r="EA21" s="365"/>
      <c r="EB21" s="365"/>
      <c r="EC21" s="365"/>
      <c r="ED21" s="365"/>
      <c r="EE21" s="365"/>
      <c r="EF21" s="365"/>
      <c r="EG21" s="365"/>
      <c r="EH21" s="365"/>
      <c r="EI21" s="365"/>
      <c r="EJ21" s="365"/>
      <c r="EK21" s="365"/>
      <c r="EL21" s="365"/>
      <c r="EM21" s="365"/>
      <c r="EN21" s="365"/>
      <c r="EO21" s="365"/>
      <c r="EP21" s="365"/>
      <c r="EQ21" s="365"/>
      <c r="ER21" s="365"/>
      <c r="ES21" s="365"/>
      <c r="ET21" s="365"/>
      <c r="EU21" s="365"/>
      <c r="EV21" s="365"/>
      <c r="EW21" s="365"/>
      <c r="EX21" s="365"/>
      <c r="EY21" s="365"/>
      <c r="EZ21" s="365"/>
      <c r="FA21" s="365"/>
      <c r="FB21" s="365"/>
      <c r="FC21" s="365"/>
      <c r="FD21" s="365"/>
      <c r="FE21" s="365"/>
      <c r="FF21" s="365"/>
      <c r="FG21" s="365"/>
      <c r="FH21" s="365"/>
      <c r="FI21" s="365"/>
      <c r="FJ21" s="365"/>
      <c r="FK21" s="365"/>
      <c r="FL21" s="365"/>
      <c r="FM21" s="365"/>
      <c r="FN21" s="365"/>
      <c r="FO21" s="365"/>
      <c r="FP21" s="365"/>
      <c r="FQ21" s="365"/>
      <c r="FR21" s="365"/>
      <c r="FS21" s="365"/>
      <c r="FT21" s="365"/>
      <c r="FU21" s="365"/>
      <c r="FV21" s="365"/>
      <c r="FW21" s="365"/>
      <c r="FX21" s="365"/>
      <c r="FY21" s="365"/>
      <c r="FZ21" s="365"/>
      <c r="GA21" s="365"/>
      <c r="GB21" s="365"/>
      <c r="GC21" s="365"/>
      <c r="GD21" s="365"/>
      <c r="GE21" s="365"/>
      <c r="GF21" s="365"/>
      <c r="GG21" s="365"/>
      <c r="GH21" s="365"/>
      <c r="GI21" s="365"/>
      <c r="GJ21" s="365"/>
      <c r="GK21" s="365"/>
      <c r="GL21" s="365"/>
      <c r="GM21" s="365"/>
      <c r="GN21" s="365"/>
      <c r="GO21" s="365"/>
      <c r="GP21" s="365"/>
      <c r="GQ21" s="365"/>
      <c r="GR21" s="365"/>
      <c r="GS21" s="365"/>
      <c r="GT21" s="365"/>
      <c r="GU21" s="365"/>
      <c r="GV21" s="365"/>
      <c r="GW21" s="365"/>
      <c r="GX21" s="365"/>
      <c r="GY21" s="365"/>
      <c r="GZ21" s="365"/>
      <c r="HA21" s="365"/>
      <c r="HB21" s="365"/>
      <c r="HC21" s="365"/>
      <c r="HD21" s="365"/>
      <c r="HE21" s="365"/>
      <c r="HF21" s="365"/>
      <c r="HG21" s="365"/>
      <c r="HH21" s="365"/>
      <c r="HI21" s="365"/>
      <c r="HJ21" s="365"/>
      <c r="HK21" s="365"/>
      <c r="HL21" s="365"/>
      <c r="HM21" s="365"/>
      <c r="HN21" s="365"/>
      <c r="HO21" s="365"/>
      <c r="HP21" s="365"/>
      <c r="HQ21" s="365"/>
      <c r="HR21" s="365"/>
      <c r="HS21" s="365"/>
      <c r="HT21" s="365"/>
      <c r="HU21" s="365"/>
      <c r="HV21" s="365"/>
      <c r="HW21" s="365"/>
      <c r="HX21" s="365"/>
      <c r="HY21" s="365"/>
    </row>
    <row r="22" spans="1:233" ht="12.75">
      <c r="A22" s="394"/>
      <c r="B22" s="493" t="s">
        <v>280</v>
      </c>
      <c r="C22" s="485"/>
      <c r="D22" s="495" t="s">
        <v>291</v>
      </c>
      <c r="E22" s="492"/>
      <c r="F22" s="431"/>
      <c r="G22" s="377"/>
      <c r="H22" s="365"/>
      <c r="I22" s="365"/>
      <c r="J22" s="365"/>
      <c r="K22" s="365"/>
      <c r="L22" s="365"/>
      <c r="M22" s="365"/>
      <c r="N22" s="365"/>
      <c r="O22" s="365"/>
      <c r="P22" s="365"/>
      <c r="Q22" s="365"/>
      <c r="R22" s="365"/>
      <c r="S22" s="365"/>
      <c r="T22" s="365"/>
      <c r="U22" s="365"/>
      <c r="V22" s="365"/>
      <c r="W22" s="365"/>
      <c r="X22" s="365"/>
      <c r="Y22" s="365"/>
      <c r="Z22" s="365"/>
      <c r="AA22" s="365"/>
      <c r="AB22" s="365"/>
      <c r="AC22" s="365"/>
      <c r="AD22" s="365"/>
      <c r="AE22" s="365"/>
      <c r="AF22" s="365"/>
      <c r="AG22" s="365"/>
      <c r="AH22" s="365"/>
      <c r="AI22" s="365"/>
      <c r="AJ22" s="365"/>
      <c r="AK22" s="365"/>
      <c r="AL22" s="365"/>
      <c r="AM22" s="365"/>
      <c r="AN22" s="365"/>
      <c r="AO22" s="365"/>
      <c r="AP22" s="365"/>
      <c r="AQ22" s="365"/>
      <c r="AR22" s="365"/>
      <c r="AS22" s="365"/>
      <c r="AT22" s="365"/>
      <c r="AU22" s="365"/>
      <c r="AV22" s="365"/>
      <c r="AW22" s="365"/>
      <c r="AX22" s="365"/>
      <c r="AY22" s="365"/>
      <c r="AZ22" s="365"/>
      <c r="BA22" s="365"/>
      <c r="BB22" s="365"/>
      <c r="BC22" s="365"/>
      <c r="BD22" s="365"/>
      <c r="BE22" s="365"/>
      <c r="BF22" s="365"/>
      <c r="BG22" s="365"/>
      <c r="BH22" s="365"/>
      <c r="BI22" s="365"/>
      <c r="BJ22" s="365"/>
      <c r="BK22" s="365"/>
      <c r="BL22" s="365"/>
      <c r="BM22" s="365"/>
      <c r="BN22" s="365"/>
      <c r="BO22" s="365"/>
      <c r="BP22" s="365"/>
      <c r="BQ22" s="365"/>
      <c r="BR22" s="365"/>
      <c r="BS22" s="365"/>
      <c r="BT22" s="365"/>
      <c r="BU22" s="365"/>
      <c r="BV22" s="365"/>
      <c r="BW22" s="365"/>
      <c r="BX22" s="365"/>
      <c r="BY22" s="365"/>
      <c r="BZ22" s="365"/>
      <c r="CA22" s="365"/>
      <c r="CB22" s="365"/>
      <c r="CC22" s="365"/>
      <c r="CD22" s="365"/>
      <c r="CE22" s="365"/>
      <c r="CF22" s="365"/>
      <c r="CG22" s="365"/>
      <c r="CH22" s="365"/>
      <c r="CI22" s="365"/>
      <c r="CJ22" s="365"/>
      <c r="CK22" s="365"/>
      <c r="CL22" s="365"/>
      <c r="CM22" s="365"/>
      <c r="CN22" s="365"/>
      <c r="CO22" s="365"/>
      <c r="CP22" s="365"/>
      <c r="CQ22" s="365"/>
      <c r="CR22" s="365"/>
      <c r="CS22" s="365"/>
      <c r="CT22" s="365"/>
      <c r="CU22" s="365"/>
      <c r="CV22" s="365"/>
      <c r="CW22" s="365"/>
      <c r="CX22" s="365"/>
      <c r="CY22" s="365"/>
      <c r="CZ22" s="365"/>
      <c r="DA22" s="365"/>
      <c r="DB22" s="365"/>
      <c r="DC22" s="365"/>
      <c r="DD22" s="365"/>
      <c r="DE22" s="365"/>
      <c r="DF22" s="365"/>
      <c r="DG22" s="365"/>
      <c r="DH22" s="365"/>
      <c r="DI22" s="365"/>
      <c r="DJ22" s="365"/>
      <c r="DK22" s="365"/>
      <c r="DL22" s="365"/>
      <c r="DM22" s="365"/>
      <c r="DN22" s="365"/>
      <c r="DO22" s="365"/>
      <c r="DP22" s="365"/>
      <c r="DQ22" s="365"/>
      <c r="DR22" s="365"/>
      <c r="DS22" s="365"/>
      <c r="DT22" s="365"/>
      <c r="DU22" s="365"/>
      <c r="DV22" s="365"/>
      <c r="DW22" s="365"/>
      <c r="DX22" s="365"/>
      <c r="DY22" s="365"/>
      <c r="DZ22" s="365"/>
      <c r="EA22" s="365"/>
      <c r="EB22" s="365"/>
      <c r="EC22" s="365"/>
      <c r="ED22" s="365"/>
      <c r="EE22" s="365"/>
      <c r="EF22" s="365"/>
      <c r="EG22" s="365"/>
      <c r="EH22" s="365"/>
      <c r="EI22" s="365"/>
      <c r="EJ22" s="365"/>
      <c r="EK22" s="365"/>
      <c r="EL22" s="365"/>
      <c r="EM22" s="365"/>
      <c r="EN22" s="365"/>
      <c r="EO22" s="365"/>
      <c r="EP22" s="365"/>
      <c r="EQ22" s="365"/>
      <c r="ER22" s="365"/>
      <c r="ES22" s="365"/>
      <c r="ET22" s="365"/>
      <c r="EU22" s="365"/>
      <c r="EV22" s="365"/>
      <c r="EW22" s="365"/>
      <c r="EX22" s="365"/>
      <c r="EY22" s="365"/>
      <c r="EZ22" s="365"/>
      <c r="FA22" s="365"/>
      <c r="FB22" s="365"/>
      <c r="FC22" s="365"/>
      <c r="FD22" s="365"/>
      <c r="FE22" s="365"/>
      <c r="FF22" s="365"/>
      <c r="FG22" s="365"/>
      <c r="FH22" s="365"/>
      <c r="FI22" s="365"/>
      <c r="FJ22" s="365"/>
      <c r="FK22" s="365"/>
      <c r="FL22" s="365"/>
      <c r="FM22" s="365"/>
      <c r="FN22" s="365"/>
      <c r="FO22" s="365"/>
      <c r="FP22" s="365"/>
      <c r="FQ22" s="365"/>
      <c r="FR22" s="365"/>
      <c r="FS22" s="365"/>
      <c r="FT22" s="365"/>
      <c r="FU22" s="365"/>
      <c r="FV22" s="365"/>
      <c r="FW22" s="365"/>
      <c r="FX22" s="365"/>
      <c r="FY22" s="365"/>
      <c r="FZ22" s="365"/>
      <c r="GA22" s="365"/>
      <c r="GB22" s="365"/>
      <c r="GC22" s="365"/>
      <c r="GD22" s="365"/>
      <c r="GE22" s="365"/>
      <c r="GF22" s="365"/>
      <c r="GG22" s="365"/>
      <c r="GH22" s="365"/>
      <c r="GI22" s="365"/>
      <c r="GJ22" s="365"/>
      <c r="GK22" s="365"/>
      <c r="GL22" s="365"/>
      <c r="GM22" s="365"/>
      <c r="GN22" s="365"/>
      <c r="GO22" s="365"/>
      <c r="GP22" s="365"/>
      <c r="GQ22" s="365"/>
      <c r="GR22" s="365"/>
      <c r="GS22" s="365"/>
      <c r="GT22" s="365"/>
      <c r="GU22" s="365"/>
      <c r="GV22" s="365"/>
      <c r="GW22" s="365"/>
      <c r="GX22" s="365"/>
      <c r="GY22" s="365"/>
      <c r="GZ22" s="365"/>
      <c r="HA22" s="365"/>
      <c r="HB22" s="365"/>
      <c r="HC22" s="365"/>
      <c r="HD22" s="365"/>
      <c r="HE22" s="365"/>
      <c r="HF22" s="365"/>
      <c r="HG22" s="365"/>
      <c r="HH22" s="365"/>
      <c r="HI22" s="365"/>
      <c r="HJ22" s="365"/>
      <c r="HK22" s="365"/>
      <c r="HL22" s="365"/>
      <c r="HM22" s="365"/>
      <c r="HN22" s="365"/>
      <c r="HO22" s="365"/>
      <c r="HP22" s="365"/>
      <c r="HQ22" s="365"/>
      <c r="HR22" s="365"/>
      <c r="HS22" s="365"/>
      <c r="HT22" s="365"/>
      <c r="HU22" s="365"/>
      <c r="HV22" s="365"/>
      <c r="HW22" s="365"/>
      <c r="HX22" s="365"/>
      <c r="HY22" s="365"/>
    </row>
    <row r="23" spans="1:233" ht="12.75">
      <c r="A23" s="394"/>
      <c r="B23" s="78" t="s">
        <v>109</v>
      </c>
      <c r="C23" s="155">
        <f>'Existing Management Practices'!C23</f>
        <v>0.4</v>
      </c>
      <c r="D23" s="73" t="s">
        <v>110</v>
      </c>
      <c r="E23" s="74">
        <f>'Existing Management Practices'!E23</f>
        <v>0.32</v>
      </c>
      <c r="F23" s="431"/>
      <c r="G23" s="377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  <c r="AQ23" s="365"/>
      <c r="AR23" s="365"/>
      <c r="AS23" s="365"/>
      <c r="AT23" s="365"/>
      <c r="AU23" s="365"/>
      <c r="AV23" s="365"/>
      <c r="AW23" s="365"/>
      <c r="AX23" s="365"/>
      <c r="AY23" s="365"/>
      <c r="AZ23" s="365"/>
      <c r="BA23" s="365"/>
      <c r="BB23" s="365"/>
      <c r="BC23" s="365"/>
      <c r="BD23" s="365"/>
      <c r="BE23" s="365"/>
      <c r="BF23" s="365"/>
      <c r="BG23" s="365"/>
      <c r="BH23" s="365"/>
      <c r="BI23" s="365"/>
      <c r="BJ23" s="365"/>
      <c r="BK23" s="365"/>
      <c r="BL23" s="365"/>
      <c r="BM23" s="365"/>
      <c r="BN23" s="365"/>
      <c r="BO23" s="365"/>
      <c r="BP23" s="365"/>
      <c r="BQ23" s="365"/>
      <c r="BR23" s="365"/>
      <c r="BS23" s="365"/>
      <c r="BT23" s="365"/>
      <c r="BU23" s="365"/>
      <c r="BV23" s="365"/>
      <c r="BW23" s="365"/>
      <c r="BX23" s="365"/>
      <c r="BY23" s="365"/>
      <c r="BZ23" s="365"/>
      <c r="CA23" s="365"/>
      <c r="CB23" s="365"/>
      <c r="CC23" s="365"/>
      <c r="CD23" s="365"/>
      <c r="CE23" s="365"/>
      <c r="CF23" s="365"/>
      <c r="CG23" s="365"/>
      <c r="CH23" s="365"/>
      <c r="CI23" s="365"/>
      <c r="CJ23" s="365"/>
      <c r="CK23" s="365"/>
      <c r="CL23" s="365"/>
      <c r="CM23" s="365"/>
      <c r="CN23" s="365"/>
      <c r="CO23" s="365"/>
      <c r="CP23" s="365"/>
      <c r="CQ23" s="365"/>
      <c r="CR23" s="365"/>
      <c r="CS23" s="365"/>
      <c r="CT23" s="365"/>
      <c r="CU23" s="365"/>
      <c r="CV23" s="365"/>
      <c r="CW23" s="365"/>
      <c r="CX23" s="365"/>
      <c r="CY23" s="365"/>
      <c r="CZ23" s="365"/>
      <c r="DA23" s="365"/>
      <c r="DB23" s="365"/>
      <c r="DC23" s="365"/>
      <c r="DD23" s="365"/>
      <c r="DE23" s="365"/>
      <c r="DF23" s="365"/>
      <c r="DG23" s="365"/>
      <c r="DH23" s="365"/>
      <c r="DI23" s="365"/>
      <c r="DJ23" s="365"/>
      <c r="DK23" s="365"/>
      <c r="DL23" s="365"/>
      <c r="DM23" s="365"/>
      <c r="DN23" s="365"/>
      <c r="DO23" s="365"/>
      <c r="DP23" s="365"/>
      <c r="DQ23" s="365"/>
      <c r="DR23" s="365"/>
      <c r="DS23" s="365"/>
      <c r="DT23" s="365"/>
      <c r="DU23" s="365"/>
      <c r="DV23" s="365"/>
      <c r="DW23" s="365"/>
      <c r="DX23" s="365"/>
      <c r="DY23" s="365"/>
      <c r="DZ23" s="365"/>
      <c r="EA23" s="365"/>
      <c r="EB23" s="365"/>
      <c r="EC23" s="365"/>
      <c r="ED23" s="365"/>
      <c r="EE23" s="365"/>
      <c r="EF23" s="365"/>
      <c r="EG23" s="365"/>
      <c r="EH23" s="365"/>
      <c r="EI23" s="365"/>
      <c r="EJ23" s="365"/>
      <c r="EK23" s="365"/>
      <c r="EL23" s="365"/>
      <c r="EM23" s="365"/>
      <c r="EN23" s="365"/>
      <c r="EO23" s="365"/>
      <c r="EP23" s="365"/>
      <c r="EQ23" s="365"/>
      <c r="ER23" s="365"/>
      <c r="ES23" s="365"/>
      <c r="ET23" s="365"/>
      <c r="EU23" s="365"/>
      <c r="EV23" s="365"/>
      <c r="EW23" s="365"/>
      <c r="EX23" s="365"/>
      <c r="EY23" s="365"/>
      <c r="EZ23" s="365"/>
      <c r="FA23" s="365"/>
      <c r="FB23" s="365"/>
      <c r="FC23" s="365"/>
      <c r="FD23" s="365"/>
      <c r="FE23" s="365"/>
      <c r="FF23" s="365"/>
      <c r="FG23" s="365"/>
      <c r="FH23" s="365"/>
      <c r="FI23" s="365"/>
      <c r="FJ23" s="365"/>
      <c r="FK23" s="365"/>
      <c r="FL23" s="365"/>
      <c r="FM23" s="365"/>
      <c r="FN23" s="365"/>
      <c r="FO23" s="365"/>
      <c r="FP23" s="365"/>
      <c r="FQ23" s="365"/>
      <c r="FR23" s="365"/>
      <c r="FS23" s="365"/>
      <c r="FT23" s="365"/>
      <c r="FU23" s="365"/>
      <c r="FV23" s="365"/>
      <c r="FW23" s="365"/>
      <c r="FX23" s="365"/>
      <c r="FY23" s="365"/>
      <c r="FZ23" s="365"/>
      <c r="GA23" s="365"/>
      <c r="GB23" s="365"/>
      <c r="GC23" s="365"/>
      <c r="GD23" s="365"/>
      <c r="GE23" s="365"/>
      <c r="GF23" s="365"/>
      <c r="GG23" s="365"/>
      <c r="GH23" s="365"/>
      <c r="GI23" s="365"/>
      <c r="GJ23" s="365"/>
      <c r="GK23" s="365"/>
      <c r="GL23" s="365"/>
      <c r="GM23" s="365"/>
      <c r="GN23" s="365"/>
      <c r="GO23" s="365"/>
      <c r="GP23" s="365"/>
      <c r="GQ23" s="365"/>
      <c r="GR23" s="365"/>
      <c r="GS23" s="365"/>
      <c r="GT23" s="365"/>
      <c r="GU23" s="365"/>
      <c r="GV23" s="365"/>
      <c r="GW23" s="365"/>
      <c r="GX23" s="365"/>
      <c r="GY23" s="365"/>
      <c r="GZ23" s="365"/>
      <c r="HA23" s="365"/>
      <c r="HB23" s="365"/>
      <c r="HC23" s="365"/>
      <c r="HD23" s="365"/>
      <c r="HE23" s="365"/>
      <c r="HF23" s="365"/>
      <c r="HG23" s="365"/>
      <c r="HH23" s="365"/>
      <c r="HI23" s="365"/>
      <c r="HJ23" s="365"/>
      <c r="HK23" s="365"/>
      <c r="HL23" s="365"/>
      <c r="HM23" s="365"/>
      <c r="HN23" s="365"/>
      <c r="HO23" s="365"/>
      <c r="HP23" s="365"/>
      <c r="HQ23" s="365"/>
      <c r="HR23" s="365"/>
      <c r="HS23" s="365"/>
      <c r="HT23" s="365"/>
      <c r="HU23" s="365"/>
      <c r="HV23" s="365"/>
      <c r="HW23" s="365"/>
      <c r="HX23" s="365"/>
      <c r="HY23" s="365"/>
    </row>
    <row r="24" spans="1:233" ht="12.75">
      <c r="A24" s="394"/>
      <c r="B24" s="78" t="s">
        <v>292</v>
      </c>
      <c r="C24" s="155">
        <f>'Existing Management Practices'!C24</f>
        <v>0.5</v>
      </c>
      <c r="D24" s="73" t="s">
        <v>111</v>
      </c>
      <c r="E24" s="74">
        <f>'Existing Management Practices'!E24</f>
        <v>0.23</v>
      </c>
      <c r="F24" s="377"/>
      <c r="G24" s="377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  <c r="AQ24" s="365"/>
      <c r="AR24" s="365"/>
      <c r="AS24" s="365"/>
      <c r="AT24" s="365"/>
      <c r="AU24" s="365"/>
      <c r="AV24" s="365"/>
      <c r="AW24" s="365"/>
      <c r="AX24" s="365"/>
      <c r="AY24" s="365"/>
      <c r="AZ24" s="365"/>
      <c r="BA24" s="365"/>
      <c r="BB24" s="365"/>
      <c r="BC24" s="365"/>
      <c r="BD24" s="365"/>
      <c r="BE24" s="365"/>
      <c r="BF24" s="365"/>
      <c r="BG24" s="365"/>
      <c r="BH24" s="365"/>
      <c r="BI24" s="365"/>
      <c r="BJ24" s="365"/>
      <c r="BK24" s="365"/>
      <c r="BL24" s="365"/>
      <c r="BM24" s="365"/>
      <c r="BN24" s="365"/>
      <c r="BO24" s="365"/>
      <c r="BP24" s="365"/>
      <c r="BQ24" s="365"/>
      <c r="BR24" s="365"/>
      <c r="BS24" s="365"/>
      <c r="BT24" s="365"/>
      <c r="BU24" s="365"/>
      <c r="BV24" s="365"/>
      <c r="BW24" s="365"/>
      <c r="BX24" s="365"/>
      <c r="BY24" s="365"/>
      <c r="BZ24" s="365"/>
      <c r="CA24" s="365"/>
      <c r="CB24" s="365"/>
      <c r="CC24" s="365"/>
      <c r="CD24" s="365"/>
      <c r="CE24" s="365"/>
      <c r="CF24" s="365"/>
      <c r="CG24" s="365"/>
      <c r="CH24" s="365"/>
      <c r="CI24" s="365"/>
      <c r="CJ24" s="365"/>
      <c r="CK24" s="365"/>
      <c r="CL24" s="365"/>
      <c r="CM24" s="365"/>
      <c r="CN24" s="365"/>
      <c r="CO24" s="365"/>
      <c r="CP24" s="365"/>
      <c r="CQ24" s="365"/>
      <c r="CR24" s="365"/>
      <c r="CS24" s="365"/>
      <c r="CT24" s="365"/>
      <c r="CU24" s="365"/>
      <c r="CV24" s="365"/>
      <c r="CW24" s="365"/>
      <c r="CX24" s="365"/>
      <c r="CY24" s="365"/>
      <c r="CZ24" s="365"/>
      <c r="DA24" s="365"/>
      <c r="DB24" s="365"/>
      <c r="DC24" s="365"/>
      <c r="DD24" s="365"/>
      <c r="DE24" s="365"/>
      <c r="DF24" s="365"/>
      <c r="DG24" s="365"/>
      <c r="DH24" s="365"/>
      <c r="DI24" s="365"/>
      <c r="DJ24" s="365"/>
      <c r="DK24" s="365"/>
      <c r="DL24" s="365"/>
      <c r="DM24" s="365"/>
      <c r="DN24" s="365"/>
      <c r="DO24" s="365"/>
      <c r="DP24" s="365"/>
      <c r="DQ24" s="365"/>
      <c r="DR24" s="365"/>
      <c r="DS24" s="365"/>
      <c r="DT24" s="365"/>
      <c r="DU24" s="365"/>
      <c r="DV24" s="365"/>
      <c r="DW24" s="365"/>
      <c r="DX24" s="365"/>
      <c r="DY24" s="365"/>
      <c r="DZ24" s="365"/>
      <c r="EA24" s="365"/>
      <c r="EB24" s="365"/>
      <c r="EC24" s="365"/>
      <c r="ED24" s="365"/>
      <c r="EE24" s="365"/>
      <c r="EF24" s="365"/>
      <c r="EG24" s="365"/>
      <c r="EH24" s="365"/>
      <c r="EI24" s="365"/>
      <c r="EJ24" s="365"/>
      <c r="EK24" s="365"/>
      <c r="EL24" s="365"/>
      <c r="EM24" s="365"/>
      <c r="EN24" s="365"/>
      <c r="EO24" s="365"/>
      <c r="EP24" s="365"/>
      <c r="EQ24" s="365"/>
      <c r="ER24" s="365"/>
      <c r="ES24" s="365"/>
      <c r="ET24" s="365"/>
      <c r="EU24" s="365"/>
      <c r="EV24" s="365"/>
      <c r="EW24" s="365"/>
      <c r="EX24" s="365"/>
      <c r="EY24" s="365"/>
      <c r="EZ24" s="365"/>
      <c r="FA24" s="365"/>
      <c r="FB24" s="365"/>
      <c r="FC24" s="365"/>
      <c r="FD24" s="365"/>
      <c r="FE24" s="365"/>
      <c r="FF24" s="365"/>
      <c r="FG24" s="365"/>
      <c r="FH24" s="365"/>
      <c r="FI24" s="365"/>
      <c r="FJ24" s="365"/>
      <c r="FK24" s="365"/>
      <c r="FL24" s="365"/>
      <c r="FM24" s="365"/>
      <c r="FN24" s="365"/>
      <c r="FO24" s="365"/>
      <c r="FP24" s="365"/>
      <c r="FQ24" s="365"/>
      <c r="FR24" s="365"/>
      <c r="FS24" s="365"/>
      <c r="FT24" s="365"/>
      <c r="FU24" s="365"/>
      <c r="FV24" s="365"/>
      <c r="FW24" s="365"/>
      <c r="FX24" s="365"/>
      <c r="FY24" s="365"/>
      <c r="FZ24" s="365"/>
      <c r="GA24" s="365"/>
      <c r="GB24" s="365"/>
      <c r="GC24" s="365"/>
      <c r="GD24" s="365"/>
      <c r="GE24" s="365"/>
      <c r="GF24" s="365"/>
      <c r="GG24" s="365"/>
      <c r="GH24" s="365"/>
      <c r="GI24" s="365"/>
      <c r="GJ24" s="365"/>
      <c r="GK24" s="365"/>
      <c r="GL24" s="365"/>
      <c r="GM24" s="365"/>
      <c r="GN24" s="365"/>
      <c r="GO24" s="365"/>
      <c r="GP24" s="365"/>
      <c r="GQ24" s="365"/>
      <c r="GR24" s="365"/>
      <c r="GS24" s="365"/>
      <c r="GT24" s="365"/>
      <c r="GU24" s="365"/>
      <c r="GV24" s="365"/>
      <c r="GW24" s="365"/>
      <c r="GX24" s="365"/>
      <c r="GY24" s="365"/>
      <c r="GZ24" s="365"/>
      <c r="HA24" s="365"/>
      <c r="HB24" s="365"/>
      <c r="HC24" s="365"/>
      <c r="HD24" s="365"/>
      <c r="HE24" s="365"/>
      <c r="HF24" s="365"/>
      <c r="HG24" s="365"/>
      <c r="HH24" s="365"/>
      <c r="HI24" s="365"/>
      <c r="HJ24" s="365"/>
      <c r="HK24" s="365"/>
      <c r="HL24" s="365"/>
      <c r="HM24" s="365"/>
      <c r="HN24" s="365"/>
      <c r="HO24" s="365"/>
      <c r="HP24" s="365"/>
      <c r="HQ24" s="365"/>
      <c r="HR24" s="365"/>
      <c r="HS24" s="365"/>
      <c r="HT24" s="365"/>
      <c r="HU24" s="365"/>
      <c r="HV24" s="365"/>
      <c r="HW24" s="365"/>
      <c r="HX24" s="365"/>
      <c r="HY24" s="365"/>
    </row>
    <row r="25" spans="1:233" ht="12" customHeight="1">
      <c r="A25" s="394"/>
      <c r="B25" s="78" t="s">
        <v>150</v>
      </c>
      <c r="C25" s="155">
        <f>'Existing Management Practices'!C25</f>
        <v>0.6</v>
      </c>
      <c r="D25" s="73" t="s">
        <v>308</v>
      </c>
      <c r="E25" s="74">
        <f>'Existing Management Practices'!E25</f>
        <v>0.25</v>
      </c>
      <c r="F25" s="377"/>
      <c r="G25" s="377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/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365"/>
      <c r="CA25" s="365"/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/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365"/>
      <c r="EG25" s="365"/>
      <c r="EH25" s="365"/>
      <c r="EI25" s="365"/>
      <c r="EJ25" s="365"/>
      <c r="EK25" s="365"/>
      <c r="EL25" s="365"/>
      <c r="EM25" s="365"/>
      <c r="EN25" s="365"/>
      <c r="EO25" s="365"/>
      <c r="EP25" s="365"/>
      <c r="EQ25" s="365"/>
      <c r="ER25" s="365"/>
      <c r="ES25" s="365"/>
      <c r="ET25" s="365"/>
      <c r="EU25" s="365"/>
      <c r="EV25" s="365"/>
      <c r="EW25" s="365"/>
      <c r="EX25" s="365"/>
      <c r="EY25" s="365"/>
      <c r="EZ25" s="365"/>
      <c r="FA25" s="365"/>
      <c r="FB25" s="365"/>
      <c r="FC25" s="365"/>
      <c r="FD25" s="365"/>
      <c r="FE25" s="365"/>
      <c r="FF25" s="365"/>
      <c r="FG25" s="365"/>
      <c r="FH25" s="365"/>
      <c r="FI25" s="365"/>
      <c r="FJ25" s="365"/>
      <c r="FK25" s="365"/>
      <c r="FL25" s="365"/>
      <c r="FM25" s="365"/>
      <c r="FN25" s="365"/>
      <c r="FO25" s="365"/>
      <c r="FP25" s="365"/>
      <c r="FQ25" s="365"/>
      <c r="FR25" s="365"/>
      <c r="FS25" s="365"/>
      <c r="FT25" s="365"/>
      <c r="FU25" s="365"/>
      <c r="FV25" s="365"/>
      <c r="FW25" s="365"/>
      <c r="FX25" s="365"/>
      <c r="FY25" s="365"/>
      <c r="FZ25" s="365"/>
      <c r="GA25" s="365"/>
      <c r="GB25" s="365"/>
      <c r="GC25" s="365"/>
      <c r="GD25" s="365"/>
      <c r="GE25" s="365"/>
      <c r="GF25" s="365"/>
      <c r="GG25" s="365"/>
      <c r="GH25" s="365"/>
      <c r="GI25" s="365"/>
      <c r="GJ25" s="365"/>
      <c r="GK25" s="365"/>
      <c r="GL25" s="365"/>
      <c r="GM25" s="365"/>
      <c r="GN25" s="365"/>
      <c r="GO25" s="365"/>
      <c r="GP25" s="365"/>
      <c r="GQ25" s="365"/>
      <c r="GR25" s="365"/>
      <c r="GS25" s="365"/>
      <c r="GT25" s="365"/>
      <c r="GU25" s="365"/>
      <c r="GV25" s="365"/>
      <c r="GW25" s="365"/>
      <c r="GX25" s="365"/>
      <c r="GY25" s="365"/>
      <c r="GZ25" s="365"/>
      <c r="HA25" s="365"/>
      <c r="HB25" s="365"/>
      <c r="HC25" s="365"/>
      <c r="HD25" s="365"/>
      <c r="HE25" s="365"/>
      <c r="HF25" s="365"/>
      <c r="HG25" s="365"/>
      <c r="HH25" s="365"/>
      <c r="HI25" s="365"/>
      <c r="HJ25" s="365"/>
      <c r="HK25" s="365"/>
      <c r="HL25" s="365"/>
      <c r="HM25" s="365"/>
      <c r="HN25" s="365"/>
      <c r="HO25" s="365"/>
      <c r="HP25" s="365"/>
      <c r="HQ25" s="365"/>
      <c r="HR25" s="365"/>
      <c r="HS25" s="365"/>
      <c r="HT25" s="365"/>
      <c r="HU25" s="365"/>
      <c r="HV25" s="365"/>
      <c r="HW25" s="365"/>
      <c r="HX25" s="365"/>
      <c r="HY25" s="365"/>
    </row>
    <row r="26" spans="1:233" ht="12" customHeight="1">
      <c r="A26" s="394"/>
      <c r="B26" s="78" t="s">
        <v>255</v>
      </c>
      <c r="C26" s="155">
        <f>'Existing Management Practices'!C26</f>
        <v>0.6</v>
      </c>
      <c r="D26" s="73" t="s">
        <v>112</v>
      </c>
      <c r="E26" s="74">
        <f>'Existing Management Practices'!E26</f>
        <v>0.01</v>
      </c>
      <c r="F26" s="377"/>
      <c r="G26" s="377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  <c r="AQ26" s="365"/>
      <c r="AR26" s="365"/>
      <c r="AS26" s="365"/>
      <c r="AT26" s="365"/>
      <c r="AU26" s="365"/>
      <c r="AV26" s="365"/>
      <c r="AW26" s="365"/>
      <c r="AX26" s="365"/>
      <c r="AY26" s="365"/>
      <c r="AZ26" s="365"/>
      <c r="BA26" s="365"/>
      <c r="BB26" s="365"/>
      <c r="BC26" s="365"/>
      <c r="BD26" s="365"/>
      <c r="BE26" s="365"/>
      <c r="BF26" s="365"/>
      <c r="BG26" s="365"/>
      <c r="BH26" s="365"/>
      <c r="BI26" s="365"/>
      <c r="BJ26" s="365"/>
      <c r="BK26" s="365"/>
      <c r="BL26" s="365"/>
      <c r="BM26" s="365"/>
      <c r="BN26" s="365"/>
      <c r="BO26" s="365"/>
      <c r="BP26" s="365"/>
      <c r="BQ26" s="365"/>
      <c r="BR26" s="365"/>
      <c r="BS26" s="365"/>
      <c r="BT26" s="365"/>
      <c r="BU26" s="365"/>
      <c r="BV26" s="365"/>
      <c r="BW26" s="365"/>
      <c r="BX26" s="365"/>
      <c r="BY26" s="365"/>
      <c r="BZ26" s="365"/>
      <c r="CA26" s="365"/>
      <c r="CB26" s="365"/>
      <c r="CC26" s="365"/>
      <c r="CD26" s="365"/>
      <c r="CE26" s="365"/>
      <c r="CF26" s="365"/>
      <c r="CG26" s="365"/>
      <c r="CH26" s="365"/>
      <c r="CI26" s="365"/>
      <c r="CJ26" s="365"/>
      <c r="CK26" s="365"/>
      <c r="CL26" s="365"/>
      <c r="CM26" s="365"/>
      <c r="CN26" s="365"/>
      <c r="CO26" s="365"/>
      <c r="CP26" s="365"/>
      <c r="CQ26" s="365"/>
      <c r="CR26" s="365"/>
      <c r="CS26" s="365"/>
      <c r="CT26" s="365"/>
      <c r="CU26" s="365"/>
      <c r="CV26" s="365"/>
      <c r="CW26" s="365"/>
      <c r="CX26" s="365"/>
      <c r="CY26" s="365"/>
      <c r="CZ26" s="365"/>
      <c r="DA26" s="365"/>
      <c r="DB26" s="365"/>
      <c r="DC26" s="365"/>
      <c r="DD26" s="365"/>
      <c r="DE26" s="365"/>
      <c r="DF26" s="365"/>
      <c r="DG26" s="365"/>
      <c r="DH26" s="365"/>
      <c r="DI26" s="365"/>
      <c r="DJ26" s="365"/>
      <c r="DK26" s="365"/>
      <c r="DL26" s="365"/>
      <c r="DM26" s="365"/>
      <c r="DN26" s="365"/>
      <c r="DO26" s="365"/>
      <c r="DP26" s="365"/>
      <c r="DQ26" s="365"/>
      <c r="DR26" s="365"/>
      <c r="DS26" s="365"/>
      <c r="DT26" s="365"/>
      <c r="DU26" s="365"/>
      <c r="DV26" s="365"/>
      <c r="DW26" s="365"/>
      <c r="DX26" s="365"/>
      <c r="DY26" s="365"/>
      <c r="DZ26" s="365"/>
      <c r="EA26" s="365"/>
      <c r="EB26" s="365"/>
      <c r="EC26" s="365"/>
      <c r="ED26" s="365"/>
      <c r="EE26" s="365"/>
      <c r="EF26" s="365"/>
      <c r="EG26" s="365"/>
      <c r="EH26" s="365"/>
      <c r="EI26" s="365"/>
      <c r="EJ26" s="365"/>
      <c r="EK26" s="365"/>
      <c r="EL26" s="365"/>
      <c r="EM26" s="365"/>
      <c r="EN26" s="365"/>
      <c r="EO26" s="365"/>
      <c r="EP26" s="365"/>
      <c r="EQ26" s="365"/>
      <c r="ER26" s="365"/>
      <c r="ES26" s="365"/>
      <c r="ET26" s="365"/>
      <c r="EU26" s="365"/>
      <c r="EV26" s="365"/>
      <c r="EW26" s="365"/>
      <c r="EX26" s="365"/>
      <c r="EY26" s="365"/>
      <c r="EZ26" s="365"/>
      <c r="FA26" s="365"/>
      <c r="FB26" s="365"/>
      <c r="FC26" s="365"/>
      <c r="FD26" s="365"/>
      <c r="FE26" s="365"/>
      <c r="FF26" s="365"/>
      <c r="FG26" s="365"/>
      <c r="FH26" s="365"/>
      <c r="FI26" s="365"/>
      <c r="FJ26" s="365"/>
      <c r="FK26" s="365"/>
      <c r="FL26" s="365"/>
      <c r="FM26" s="365"/>
      <c r="FN26" s="365"/>
      <c r="FO26" s="365"/>
      <c r="FP26" s="365"/>
      <c r="FQ26" s="365"/>
      <c r="FR26" s="365"/>
      <c r="FS26" s="365"/>
      <c r="FT26" s="365"/>
      <c r="FU26" s="365"/>
      <c r="FV26" s="365"/>
      <c r="FW26" s="365"/>
      <c r="FX26" s="365"/>
      <c r="FY26" s="365"/>
      <c r="FZ26" s="365"/>
      <c r="GA26" s="365"/>
      <c r="GB26" s="365"/>
      <c r="GC26" s="365"/>
      <c r="GD26" s="365"/>
      <c r="GE26" s="365"/>
      <c r="GF26" s="365"/>
      <c r="GG26" s="365"/>
      <c r="GH26" s="365"/>
      <c r="GI26" s="365"/>
      <c r="GJ26" s="365"/>
      <c r="GK26" s="365"/>
      <c r="GL26" s="365"/>
      <c r="GM26" s="365"/>
      <c r="GN26" s="365"/>
      <c r="GO26" s="365"/>
      <c r="GP26" s="365"/>
      <c r="GQ26" s="365"/>
      <c r="GR26" s="365"/>
      <c r="GS26" s="365"/>
      <c r="GT26" s="365"/>
      <c r="GU26" s="365"/>
      <c r="GV26" s="365"/>
      <c r="GW26" s="365"/>
      <c r="GX26" s="365"/>
      <c r="GY26" s="365"/>
      <c r="GZ26" s="365"/>
      <c r="HA26" s="365"/>
      <c r="HB26" s="365"/>
      <c r="HC26" s="365"/>
      <c r="HD26" s="365"/>
      <c r="HE26" s="365"/>
      <c r="HF26" s="365"/>
      <c r="HG26" s="365"/>
      <c r="HH26" s="365"/>
      <c r="HI26" s="365"/>
      <c r="HJ26" s="365"/>
      <c r="HK26" s="365"/>
      <c r="HL26" s="365"/>
      <c r="HM26" s="365"/>
      <c r="HN26" s="365"/>
      <c r="HO26" s="365"/>
      <c r="HP26" s="365"/>
      <c r="HQ26" s="365"/>
      <c r="HR26" s="365"/>
      <c r="HS26" s="365"/>
      <c r="HT26" s="365"/>
      <c r="HU26" s="365"/>
      <c r="HV26" s="365"/>
      <c r="HW26" s="365"/>
      <c r="HX26" s="365"/>
      <c r="HY26" s="365"/>
    </row>
    <row r="27" spans="1:233" ht="12.75">
      <c r="A27" s="394"/>
      <c r="B27" s="78" t="s">
        <v>279</v>
      </c>
      <c r="C27" s="88">
        <f>'Existing Management Practices'!C27</f>
        <v>0</v>
      </c>
      <c r="D27" s="73" t="s">
        <v>309</v>
      </c>
      <c r="E27" s="74">
        <f>'Existing Management Practices'!E27</f>
        <v>0.75</v>
      </c>
      <c r="F27" s="377"/>
      <c r="G27" s="377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  <c r="AQ27" s="365"/>
      <c r="AR27" s="365"/>
      <c r="AS27" s="365"/>
      <c r="AT27" s="365"/>
      <c r="AU27" s="365"/>
      <c r="AV27" s="365"/>
      <c r="AW27" s="365"/>
      <c r="AX27" s="365"/>
      <c r="AY27" s="365"/>
      <c r="AZ27" s="365"/>
      <c r="BA27" s="365"/>
      <c r="BB27" s="365"/>
      <c r="BC27" s="365"/>
      <c r="BD27" s="365"/>
      <c r="BE27" s="365"/>
      <c r="BF27" s="365"/>
      <c r="BG27" s="365"/>
      <c r="BH27" s="365"/>
      <c r="BI27" s="365"/>
      <c r="BJ27" s="365"/>
      <c r="BK27" s="365"/>
      <c r="BL27" s="365"/>
      <c r="BM27" s="365"/>
      <c r="BN27" s="365"/>
      <c r="BO27" s="365"/>
      <c r="BP27" s="365"/>
      <c r="BQ27" s="365"/>
      <c r="BR27" s="365"/>
      <c r="BS27" s="365"/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5"/>
      <c r="DV27" s="365"/>
      <c r="DW27" s="365"/>
      <c r="DX27" s="365"/>
      <c r="DY27" s="365"/>
      <c r="DZ27" s="365"/>
      <c r="EA27" s="365"/>
      <c r="EB27" s="365"/>
      <c r="EC27" s="365"/>
      <c r="ED27" s="365"/>
      <c r="EE27" s="365"/>
      <c r="EF27" s="365"/>
      <c r="EG27" s="365"/>
      <c r="EH27" s="365"/>
      <c r="EI27" s="365"/>
      <c r="EJ27" s="365"/>
      <c r="EK27" s="365"/>
      <c r="EL27" s="365"/>
      <c r="EM27" s="365"/>
      <c r="EN27" s="365"/>
      <c r="EO27" s="365"/>
      <c r="EP27" s="365"/>
      <c r="EQ27" s="365"/>
      <c r="ER27" s="365"/>
      <c r="ES27" s="365"/>
      <c r="ET27" s="365"/>
      <c r="EU27" s="365"/>
      <c r="EV27" s="365"/>
      <c r="EW27" s="365"/>
      <c r="EX27" s="365"/>
      <c r="EY27" s="365"/>
      <c r="EZ27" s="365"/>
      <c r="FA27" s="365"/>
      <c r="FB27" s="365"/>
      <c r="FC27" s="365"/>
      <c r="FD27" s="365"/>
      <c r="FE27" s="365"/>
      <c r="FF27" s="365"/>
      <c r="FG27" s="365"/>
      <c r="FH27" s="365"/>
      <c r="FI27" s="365"/>
      <c r="FJ27" s="365"/>
      <c r="FK27" s="365"/>
      <c r="FL27" s="365"/>
      <c r="FM27" s="365"/>
      <c r="FN27" s="365"/>
      <c r="FO27" s="365"/>
      <c r="FP27" s="365"/>
      <c r="FQ27" s="365"/>
      <c r="FR27" s="365"/>
      <c r="FS27" s="365"/>
      <c r="FT27" s="365"/>
      <c r="FU27" s="365"/>
      <c r="FV27" s="365"/>
      <c r="FW27" s="365"/>
      <c r="FX27" s="365"/>
      <c r="FY27" s="365"/>
      <c r="FZ27" s="365"/>
      <c r="GA27" s="365"/>
      <c r="GB27" s="365"/>
      <c r="GC27" s="365"/>
      <c r="GD27" s="365"/>
      <c r="GE27" s="365"/>
      <c r="GF27" s="365"/>
      <c r="GG27" s="365"/>
      <c r="GH27" s="365"/>
      <c r="GI27" s="365"/>
      <c r="GJ27" s="365"/>
      <c r="GK27" s="365"/>
      <c r="GL27" s="365"/>
      <c r="GM27" s="365"/>
      <c r="GN27" s="365"/>
      <c r="GO27" s="365"/>
      <c r="GP27" s="365"/>
      <c r="GQ27" s="365"/>
      <c r="GR27" s="365"/>
      <c r="GS27" s="365"/>
      <c r="GT27" s="365"/>
      <c r="GU27" s="365"/>
      <c r="GV27" s="365"/>
      <c r="GW27" s="365"/>
      <c r="GX27" s="365"/>
      <c r="GY27" s="365"/>
      <c r="GZ27" s="365"/>
      <c r="HA27" s="365"/>
      <c r="HB27" s="365"/>
      <c r="HC27" s="365"/>
      <c r="HD27" s="365"/>
      <c r="HE27" s="365"/>
      <c r="HF27" s="365"/>
      <c r="HG27" s="365"/>
      <c r="HH27" s="365"/>
      <c r="HI27" s="365"/>
      <c r="HJ27" s="365"/>
      <c r="HK27" s="365"/>
      <c r="HL27" s="365"/>
      <c r="HM27" s="365"/>
      <c r="HN27" s="365"/>
      <c r="HO27" s="365"/>
      <c r="HP27" s="365"/>
      <c r="HQ27" s="365"/>
      <c r="HR27" s="365"/>
      <c r="HS27" s="365"/>
      <c r="HT27" s="365"/>
      <c r="HU27" s="365"/>
      <c r="HV27" s="365"/>
      <c r="HW27" s="365"/>
      <c r="HX27" s="365"/>
      <c r="HY27" s="365"/>
    </row>
    <row r="28" spans="1:233" ht="12.75">
      <c r="A28" s="394"/>
      <c r="B28" s="144"/>
      <c r="C28" s="534"/>
      <c r="D28" s="73" t="s">
        <v>234</v>
      </c>
      <c r="E28" s="74">
        <f>'Existing Management Practices'!E28</f>
        <v>10</v>
      </c>
      <c r="F28" s="377"/>
      <c r="G28" s="377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  <c r="AQ28" s="365"/>
      <c r="AR28" s="365"/>
      <c r="AS28" s="365"/>
      <c r="AT28" s="365"/>
      <c r="AU28" s="365"/>
      <c r="AV28" s="365"/>
      <c r="AW28" s="365"/>
      <c r="AX28" s="365"/>
      <c r="AY28" s="365"/>
      <c r="AZ28" s="365"/>
      <c r="BA28" s="365"/>
      <c r="BB28" s="365"/>
      <c r="BC28" s="365"/>
      <c r="BD28" s="365"/>
      <c r="BE28" s="365"/>
      <c r="BF28" s="365"/>
      <c r="BG28" s="365"/>
      <c r="BH28" s="365"/>
      <c r="BI28" s="365"/>
      <c r="BJ28" s="365"/>
      <c r="BK28" s="365"/>
      <c r="BL28" s="365"/>
      <c r="BM28" s="365"/>
      <c r="BN28" s="365"/>
      <c r="BO28" s="365"/>
      <c r="BP28" s="365"/>
      <c r="BQ28" s="365"/>
      <c r="BR28" s="365"/>
      <c r="BS28" s="365"/>
      <c r="BT28" s="365"/>
      <c r="BU28" s="365"/>
      <c r="BV28" s="365"/>
      <c r="BW28" s="365"/>
      <c r="BX28" s="365"/>
      <c r="BY28" s="365"/>
      <c r="BZ28" s="365"/>
      <c r="CA28" s="365"/>
      <c r="CB28" s="365"/>
      <c r="CC28" s="365"/>
      <c r="CD28" s="365"/>
      <c r="CE28" s="365"/>
      <c r="CF28" s="365"/>
      <c r="CG28" s="365"/>
      <c r="CH28" s="365"/>
      <c r="CI28" s="365"/>
      <c r="CJ28" s="365"/>
      <c r="CK28" s="365"/>
      <c r="CL28" s="365"/>
      <c r="CM28" s="365"/>
      <c r="CN28" s="365"/>
      <c r="CO28" s="365"/>
      <c r="CP28" s="365"/>
      <c r="CQ28" s="365"/>
      <c r="CR28" s="365"/>
      <c r="CS28" s="365"/>
      <c r="CT28" s="365"/>
      <c r="CU28" s="365"/>
      <c r="CV28" s="365"/>
      <c r="CW28" s="365"/>
      <c r="CX28" s="365"/>
      <c r="CY28" s="365"/>
      <c r="CZ28" s="365"/>
      <c r="DA28" s="365"/>
      <c r="DB28" s="365"/>
      <c r="DC28" s="365"/>
      <c r="DD28" s="365"/>
      <c r="DE28" s="365"/>
      <c r="DF28" s="365"/>
      <c r="DG28" s="365"/>
      <c r="DH28" s="365"/>
      <c r="DI28" s="365"/>
      <c r="DJ28" s="365"/>
      <c r="DK28" s="365"/>
      <c r="DL28" s="365"/>
      <c r="DM28" s="365"/>
      <c r="DN28" s="365"/>
      <c r="DO28" s="365"/>
      <c r="DP28" s="365"/>
      <c r="DQ28" s="365"/>
      <c r="DR28" s="365"/>
      <c r="DS28" s="365"/>
      <c r="DT28" s="365"/>
      <c r="DU28" s="365"/>
      <c r="DV28" s="365"/>
      <c r="DW28" s="365"/>
      <c r="DX28" s="365"/>
      <c r="DY28" s="365"/>
      <c r="DZ28" s="365"/>
      <c r="EA28" s="365"/>
      <c r="EB28" s="365"/>
      <c r="EC28" s="365"/>
      <c r="ED28" s="365"/>
      <c r="EE28" s="365"/>
      <c r="EF28" s="365"/>
      <c r="EG28" s="365"/>
      <c r="EH28" s="365"/>
      <c r="EI28" s="365"/>
      <c r="EJ28" s="365"/>
      <c r="EK28" s="365"/>
      <c r="EL28" s="365"/>
      <c r="EM28" s="365"/>
      <c r="EN28" s="365"/>
      <c r="EO28" s="365"/>
      <c r="EP28" s="365"/>
      <c r="EQ28" s="365"/>
      <c r="ER28" s="365"/>
      <c r="ES28" s="365"/>
      <c r="ET28" s="365"/>
      <c r="EU28" s="365"/>
      <c r="EV28" s="365"/>
      <c r="EW28" s="365"/>
      <c r="EX28" s="365"/>
      <c r="EY28" s="365"/>
      <c r="EZ28" s="365"/>
      <c r="FA28" s="365"/>
      <c r="FB28" s="365"/>
      <c r="FC28" s="365"/>
      <c r="FD28" s="365"/>
      <c r="FE28" s="365"/>
      <c r="FF28" s="365"/>
      <c r="FG28" s="365"/>
      <c r="FH28" s="365"/>
      <c r="FI28" s="365"/>
      <c r="FJ28" s="365"/>
      <c r="FK28" s="365"/>
      <c r="FL28" s="365"/>
      <c r="FM28" s="365"/>
      <c r="FN28" s="365"/>
      <c r="FO28" s="365"/>
      <c r="FP28" s="365"/>
      <c r="FQ28" s="365"/>
      <c r="FR28" s="365"/>
      <c r="FS28" s="365"/>
      <c r="FT28" s="365"/>
      <c r="FU28" s="365"/>
      <c r="FV28" s="365"/>
      <c r="FW28" s="365"/>
      <c r="FX28" s="365"/>
      <c r="FY28" s="365"/>
      <c r="FZ28" s="365"/>
      <c r="GA28" s="365"/>
      <c r="GB28" s="365"/>
      <c r="GC28" s="365"/>
      <c r="GD28" s="365"/>
      <c r="GE28" s="365"/>
      <c r="GF28" s="365"/>
      <c r="GG28" s="365"/>
      <c r="GH28" s="365"/>
      <c r="GI28" s="365"/>
      <c r="GJ28" s="365"/>
      <c r="GK28" s="365"/>
      <c r="GL28" s="365"/>
      <c r="GM28" s="365"/>
      <c r="GN28" s="365"/>
      <c r="GO28" s="365"/>
      <c r="GP28" s="365"/>
      <c r="GQ28" s="365"/>
      <c r="GR28" s="365"/>
      <c r="GS28" s="365"/>
      <c r="GT28" s="365"/>
      <c r="GU28" s="365"/>
      <c r="GV28" s="365"/>
      <c r="GW28" s="365"/>
      <c r="GX28" s="365"/>
      <c r="GY28" s="365"/>
      <c r="GZ28" s="365"/>
      <c r="HA28" s="365"/>
      <c r="HB28" s="365"/>
      <c r="HC28" s="365"/>
      <c r="HD28" s="365"/>
      <c r="HE28" s="365"/>
      <c r="HF28" s="365"/>
      <c r="HG28" s="365"/>
      <c r="HH28" s="365"/>
      <c r="HI28" s="365"/>
      <c r="HJ28" s="365"/>
      <c r="HK28" s="365"/>
      <c r="HL28" s="365"/>
      <c r="HM28" s="365"/>
      <c r="HN28" s="365"/>
      <c r="HO28" s="365"/>
      <c r="HP28" s="365"/>
      <c r="HQ28" s="365"/>
      <c r="HR28" s="365"/>
      <c r="HS28" s="365"/>
      <c r="HT28" s="365"/>
      <c r="HU28" s="365"/>
      <c r="HV28" s="365"/>
      <c r="HW28" s="365"/>
      <c r="HX28" s="365"/>
      <c r="HY28" s="365"/>
    </row>
    <row r="29" spans="1:233" ht="12.75">
      <c r="A29" s="394"/>
      <c r="B29" s="144"/>
      <c r="C29" s="534"/>
      <c r="D29" s="73" t="s">
        <v>113</v>
      </c>
      <c r="E29" s="356">
        <f>'Existing Management Practices'!E29</f>
        <v>0.05</v>
      </c>
      <c r="F29" s="377"/>
      <c r="G29" s="368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  <c r="AQ29" s="365"/>
      <c r="AR29" s="365"/>
      <c r="AS29" s="365"/>
      <c r="AT29" s="365"/>
      <c r="AU29" s="365"/>
      <c r="AV29" s="365"/>
      <c r="AW29" s="365"/>
      <c r="AX29" s="365"/>
      <c r="AY29" s="365"/>
      <c r="AZ29" s="365"/>
      <c r="BA29" s="365"/>
      <c r="BB29" s="365"/>
      <c r="BC29" s="365"/>
      <c r="BD29" s="365"/>
      <c r="BE29" s="365"/>
      <c r="BF29" s="365"/>
      <c r="BG29" s="365"/>
      <c r="BH29" s="365"/>
      <c r="BI29" s="365"/>
      <c r="BJ29" s="365"/>
      <c r="BK29" s="365"/>
      <c r="BL29" s="365"/>
      <c r="BM29" s="365"/>
      <c r="BN29" s="365"/>
      <c r="BO29" s="365"/>
      <c r="BP29" s="365"/>
      <c r="BQ29" s="365"/>
      <c r="BR29" s="365"/>
      <c r="BS29" s="365"/>
      <c r="BT29" s="365"/>
      <c r="BU29" s="365"/>
      <c r="BV29" s="365"/>
      <c r="BW29" s="365"/>
      <c r="BX29" s="365"/>
      <c r="BY29" s="365"/>
      <c r="BZ29" s="365"/>
      <c r="CA29" s="365"/>
      <c r="CB29" s="365"/>
      <c r="CC29" s="365"/>
      <c r="CD29" s="365"/>
      <c r="CE29" s="365"/>
      <c r="CF29" s="365"/>
      <c r="CG29" s="365"/>
      <c r="CH29" s="365"/>
      <c r="CI29" s="365"/>
      <c r="CJ29" s="365"/>
      <c r="CK29" s="365"/>
      <c r="CL29" s="365"/>
      <c r="CM29" s="365"/>
      <c r="CN29" s="365"/>
      <c r="CO29" s="365"/>
      <c r="CP29" s="365"/>
      <c r="CQ29" s="365"/>
      <c r="CR29" s="365"/>
      <c r="CS29" s="365"/>
      <c r="CT29" s="365"/>
      <c r="CU29" s="365"/>
      <c r="CV29" s="365"/>
      <c r="CW29" s="365"/>
      <c r="CX29" s="365"/>
      <c r="CY29" s="365"/>
      <c r="CZ29" s="365"/>
      <c r="DA29" s="365"/>
      <c r="DB29" s="365"/>
      <c r="DC29" s="365"/>
      <c r="DD29" s="365"/>
      <c r="DE29" s="365"/>
      <c r="DF29" s="365"/>
      <c r="DG29" s="365"/>
      <c r="DH29" s="365"/>
      <c r="DI29" s="365"/>
      <c r="DJ29" s="365"/>
      <c r="DK29" s="365"/>
      <c r="DL29" s="365"/>
      <c r="DM29" s="365"/>
      <c r="DN29" s="365"/>
      <c r="DO29" s="365"/>
      <c r="DP29" s="365"/>
      <c r="DQ29" s="365"/>
      <c r="DR29" s="365"/>
      <c r="DS29" s="365"/>
      <c r="DT29" s="365"/>
      <c r="DU29" s="365"/>
      <c r="DV29" s="365"/>
      <c r="DW29" s="365"/>
      <c r="DX29" s="365"/>
      <c r="DY29" s="365"/>
      <c r="DZ29" s="365"/>
      <c r="EA29" s="365"/>
      <c r="EB29" s="365"/>
      <c r="EC29" s="365"/>
      <c r="ED29" s="365"/>
      <c r="EE29" s="365"/>
      <c r="EF29" s="365"/>
      <c r="EG29" s="365"/>
      <c r="EH29" s="365"/>
      <c r="EI29" s="365"/>
      <c r="EJ29" s="365"/>
      <c r="EK29" s="365"/>
      <c r="EL29" s="365"/>
      <c r="EM29" s="365"/>
      <c r="EN29" s="365"/>
      <c r="EO29" s="365"/>
      <c r="EP29" s="365"/>
      <c r="EQ29" s="365"/>
      <c r="ER29" s="365"/>
      <c r="ES29" s="365"/>
      <c r="ET29" s="365"/>
      <c r="EU29" s="365"/>
      <c r="EV29" s="365"/>
      <c r="EW29" s="365"/>
      <c r="EX29" s="365"/>
      <c r="EY29" s="365"/>
      <c r="EZ29" s="365"/>
      <c r="FA29" s="365"/>
      <c r="FB29" s="365"/>
      <c r="FC29" s="365"/>
      <c r="FD29" s="365"/>
      <c r="FE29" s="365"/>
      <c r="FF29" s="365"/>
      <c r="FG29" s="365"/>
      <c r="FH29" s="365"/>
      <c r="FI29" s="365"/>
      <c r="FJ29" s="365"/>
      <c r="FK29" s="365"/>
      <c r="FL29" s="365"/>
      <c r="FM29" s="365"/>
      <c r="FN29" s="365"/>
      <c r="FO29" s="365"/>
      <c r="FP29" s="365"/>
      <c r="FQ29" s="365"/>
      <c r="FR29" s="365"/>
      <c r="FS29" s="365"/>
      <c r="FT29" s="365"/>
      <c r="FU29" s="365"/>
      <c r="FV29" s="365"/>
      <c r="FW29" s="365"/>
      <c r="FX29" s="365"/>
      <c r="FY29" s="365"/>
      <c r="FZ29" s="365"/>
      <c r="GA29" s="365"/>
      <c r="GB29" s="365"/>
      <c r="GC29" s="365"/>
      <c r="GD29" s="365"/>
      <c r="GE29" s="365"/>
      <c r="GF29" s="365"/>
      <c r="GG29" s="365"/>
      <c r="GH29" s="365"/>
      <c r="GI29" s="365"/>
      <c r="GJ29" s="365"/>
      <c r="GK29" s="365"/>
      <c r="GL29" s="365"/>
      <c r="GM29" s="365"/>
      <c r="GN29" s="365"/>
      <c r="GO29" s="365"/>
      <c r="GP29" s="365"/>
      <c r="GQ29" s="365"/>
      <c r="GR29" s="365"/>
      <c r="GS29" s="365"/>
      <c r="GT29" s="365"/>
      <c r="GU29" s="365"/>
      <c r="GV29" s="365"/>
      <c r="GW29" s="365"/>
      <c r="GX29" s="365"/>
      <c r="GY29" s="365"/>
      <c r="GZ29" s="365"/>
      <c r="HA29" s="365"/>
      <c r="HB29" s="365"/>
      <c r="HC29" s="365"/>
      <c r="HD29" s="365"/>
      <c r="HE29" s="365"/>
      <c r="HF29" s="365"/>
      <c r="HG29" s="365"/>
      <c r="HH29" s="365"/>
      <c r="HI29" s="365"/>
      <c r="HJ29" s="365"/>
      <c r="HK29" s="365"/>
      <c r="HL29" s="365"/>
      <c r="HM29" s="365"/>
      <c r="HN29" s="365"/>
      <c r="HO29" s="365"/>
      <c r="HP29" s="365"/>
      <c r="HQ29" s="365"/>
      <c r="HR29" s="365"/>
      <c r="HS29" s="365"/>
      <c r="HT29" s="365"/>
      <c r="HU29" s="365"/>
      <c r="HV29" s="365"/>
      <c r="HW29" s="365"/>
      <c r="HX29" s="365"/>
      <c r="HY29" s="365"/>
    </row>
    <row r="30" spans="1:233" ht="11.25" customHeight="1">
      <c r="A30" s="394"/>
      <c r="B30" s="144"/>
      <c r="C30" s="534"/>
      <c r="D30" s="515"/>
      <c r="E30" s="535"/>
      <c r="F30" s="377"/>
      <c r="G30" s="368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  <c r="AQ30" s="365"/>
      <c r="AR30" s="365"/>
      <c r="AS30" s="365"/>
      <c r="AT30" s="365"/>
      <c r="AU30" s="365"/>
      <c r="AV30" s="365"/>
      <c r="AW30" s="365"/>
      <c r="AX30" s="365"/>
      <c r="AY30" s="365"/>
      <c r="AZ30" s="365"/>
      <c r="BA30" s="365"/>
      <c r="BB30" s="365"/>
      <c r="BC30" s="365"/>
      <c r="BD30" s="365"/>
      <c r="BE30" s="365"/>
      <c r="BF30" s="365"/>
      <c r="BG30" s="365"/>
      <c r="BH30" s="365"/>
      <c r="BI30" s="365"/>
      <c r="BJ30" s="365"/>
      <c r="BK30" s="365"/>
      <c r="BL30" s="365"/>
      <c r="BM30" s="365"/>
      <c r="BN30" s="365"/>
      <c r="BO30" s="365"/>
      <c r="BP30" s="365"/>
      <c r="BQ30" s="365"/>
      <c r="BR30" s="365"/>
      <c r="BS30" s="365"/>
      <c r="BT30" s="365"/>
      <c r="BU30" s="365"/>
      <c r="BV30" s="365"/>
      <c r="BW30" s="365"/>
      <c r="BX30" s="365"/>
      <c r="BY30" s="365"/>
      <c r="BZ30" s="365"/>
      <c r="CA30" s="365"/>
      <c r="CB30" s="365"/>
      <c r="CC30" s="365"/>
      <c r="CD30" s="365"/>
      <c r="CE30" s="365"/>
      <c r="CF30" s="365"/>
      <c r="CG30" s="365"/>
      <c r="CH30" s="365"/>
      <c r="CI30" s="365"/>
      <c r="CJ30" s="365"/>
      <c r="CK30" s="365"/>
      <c r="CL30" s="365"/>
      <c r="CM30" s="365"/>
      <c r="CN30" s="365"/>
      <c r="CO30" s="365"/>
      <c r="CP30" s="365"/>
      <c r="CQ30" s="365"/>
      <c r="CR30" s="365"/>
      <c r="CS30" s="365"/>
      <c r="CT30" s="365"/>
      <c r="CU30" s="365"/>
      <c r="CV30" s="365"/>
      <c r="CW30" s="365"/>
      <c r="CX30" s="365"/>
      <c r="CY30" s="365"/>
      <c r="CZ30" s="365"/>
      <c r="DA30" s="365"/>
      <c r="DB30" s="365"/>
      <c r="DC30" s="365"/>
      <c r="DD30" s="365"/>
      <c r="DE30" s="365"/>
      <c r="DF30" s="365"/>
      <c r="DG30" s="365"/>
      <c r="DH30" s="365"/>
      <c r="DI30" s="365"/>
      <c r="DJ30" s="365"/>
      <c r="DK30" s="365"/>
      <c r="DL30" s="365"/>
      <c r="DM30" s="365"/>
      <c r="DN30" s="365"/>
      <c r="DO30" s="365"/>
      <c r="DP30" s="365"/>
      <c r="DQ30" s="365"/>
      <c r="DR30" s="365"/>
      <c r="DS30" s="365"/>
      <c r="DT30" s="365"/>
      <c r="DU30" s="365"/>
      <c r="DV30" s="365"/>
      <c r="DW30" s="365"/>
      <c r="DX30" s="365"/>
      <c r="DY30" s="365"/>
      <c r="DZ30" s="365"/>
      <c r="EA30" s="365"/>
      <c r="EB30" s="365"/>
      <c r="EC30" s="365"/>
      <c r="ED30" s="365"/>
      <c r="EE30" s="365"/>
      <c r="EF30" s="365"/>
      <c r="EG30" s="365"/>
      <c r="EH30" s="365"/>
      <c r="EI30" s="365"/>
      <c r="EJ30" s="365"/>
      <c r="EK30" s="365"/>
      <c r="EL30" s="365"/>
      <c r="EM30" s="365"/>
      <c r="EN30" s="365"/>
      <c r="EO30" s="365"/>
      <c r="EP30" s="365"/>
      <c r="EQ30" s="365"/>
      <c r="ER30" s="365"/>
      <c r="ES30" s="365"/>
      <c r="ET30" s="365"/>
      <c r="EU30" s="365"/>
      <c r="EV30" s="365"/>
      <c r="EW30" s="365"/>
      <c r="EX30" s="365"/>
      <c r="EY30" s="365"/>
      <c r="EZ30" s="365"/>
      <c r="FA30" s="365"/>
      <c r="FB30" s="365"/>
      <c r="FC30" s="365"/>
      <c r="FD30" s="365"/>
      <c r="FE30" s="365"/>
      <c r="FF30" s="365"/>
      <c r="FG30" s="365"/>
      <c r="FH30" s="365"/>
      <c r="FI30" s="365"/>
      <c r="FJ30" s="365"/>
      <c r="FK30" s="365"/>
      <c r="FL30" s="365"/>
      <c r="FM30" s="365"/>
      <c r="FN30" s="365"/>
      <c r="FO30" s="365"/>
      <c r="FP30" s="365"/>
      <c r="FQ30" s="365"/>
      <c r="FR30" s="365"/>
      <c r="FS30" s="365"/>
      <c r="FT30" s="365"/>
      <c r="FU30" s="365"/>
      <c r="FV30" s="365"/>
      <c r="FW30" s="365"/>
      <c r="FX30" s="365"/>
      <c r="FY30" s="365"/>
      <c r="FZ30" s="365"/>
      <c r="GA30" s="365"/>
      <c r="GB30" s="365"/>
      <c r="GC30" s="365"/>
      <c r="GD30" s="365"/>
      <c r="GE30" s="365"/>
      <c r="GF30" s="365"/>
      <c r="GG30" s="365"/>
      <c r="GH30" s="365"/>
      <c r="GI30" s="365"/>
      <c r="GJ30" s="365"/>
      <c r="GK30" s="365"/>
      <c r="GL30" s="365"/>
      <c r="GM30" s="365"/>
      <c r="GN30" s="365"/>
      <c r="GO30" s="365"/>
      <c r="GP30" s="365"/>
      <c r="GQ30" s="365"/>
      <c r="GR30" s="365"/>
      <c r="GS30" s="365"/>
      <c r="GT30" s="365"/>
      <c r="GU30" s="365"/>
      <c r="GV30" s="365"/>
      <c r="GW30" s="365"/>
      <c r="GX30" s="365"/>
      <c r="GY30" s="365"/>
      <c r="GZ30" s="365"/>
      <c r="HA30" s="365"/>
      <c r="HB30" s="365"/>
      <c r="HC30" s="365"/>
      <c r="HD30" s="365"/>
      <c r="HE30" s="365"/>
      <c r="HF30" s="365"/>
      <c r="HG30" s="365"/>
      <c r="HH30" s="365"/>
      <c r="HI30" s="365"/>
      <c r="HJ30" s="365"/>
      <c r="HK30" s="365"/>
      <c r="HL30" s="365"/>
      <c r="HM30" s="365"/>
      <c r="HN30" s="365"/>
      <c r="HO30" s="365"/>
      <c r="HP30" s="365"/>
      <c r="HQ30" s="365"/>
      <c r="HR30" s="365"/>
      <c r="HS30" s="365"/>
      <c r="HT30" s="365"/>
      <c r="HU30" s="365"/>
      <c r="HV30" s="365"/>
      <c r="HW30" s="365"/>
      <c r="HX30" s="365"/>
      <c r="HY30" s="365"/>
    </row>
    <row r="31" spans="1:233" ht="12.75">
      <c r="A31" s="378"/>
      <c r="B31" s="144"/>
      <c r="C31" s="534"/>
      <c r="D31" s="515"/>
      <c r="E31" s="535"/>
      <c r="F31" s="377"/>
      <c r="G31" s="368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  <c r="AJ31" s="365"/>
      <c r="AK31" s="365"/>
      <c r="AL31" s="365"/>
      <c r="AM31" s="365"/>
      <c r="AN31" s="365"/>
      <c r="AO31" s="365"/>
      <c r="AP31" s="365"/>
      <c r="AQ31" s="365"/>
      <c r="AR31" s="365"/>
      <c r="AS31" s="365"/>
      <c r="AT31" s="365"/>
      <c r="AU31" s="365"/>
      <c r="AV31" s="365"/>
      <c r="AW31" s="365"/>
      <c r="AX31" s="365"/>
      <c r="AY31" s="365"/>
      <c r="AZ31" s="365"/>
      <c r="BA31" s="365"/>
      <c r="BB31" s="365"/>
      <c r="BC31" s="365"/>
      <c r="BD31" s="365"/>
      <c r="BE31" s="365"/>
      <c r="BF31" s="365"/>
      <c r="BG31" s="365"/>
      <c r="BH31" s="365"/>
      <c r="BI31" s="365"/>
      <c r="BJ31" s="365"/>
      <c r="BK31" s="365"/>
      <c r="BL31" s="365"/>
      <c r="BM31" s="365"/>
      <c r="BN31" s="365"/>
      <c r="BO31" s="365"/>
      <c r="BP31" s="365"/>
      <c r="BQ31" s="365"/>
      <c r="BR31" s="365"/>
      <c r="BS31" s="365"/>
      <c r="BT31" s="365"/>
      <c r="BU31" s="365"/>
      <c r="BV31" s="365"/>
      <c r="BW31" s="365"/>
      <c r="BX31" s="365"/>
      <c r="BY31" s="365"/>
      <c r="BZ31" s="365"/>
      <c r="CA31" s="365"/>
      <c r="CB31" s="365"/>
      <c r="CC31" s="365"/>
      <c r="CD31" s="365"/>
      <c r="CE31" s="365"/>
      <c r="CF31" s="365"/>
      <c r="CG31" s="365"/>
      <c r="CH31" s="365"/>
      <c r="CI31" s="365"/>
      <c r="CJ31" s="365"/>
      <c r="CK31" s="365"/>
      <c r="CL31" s="365"/>
      <c r="CM31" s="365"/>
      <c r="CN31" s="365"/>
      <c r="CO31" s="365"/>
      <c r="CP31" s="365"/>
      <c r="CQ31" s="365"/>
      <c r="CR31" s="365"/>
      <c r="CS31" s="365"/>
      <c r="CT31" s="365"/>
      <c r="CU31" s="365"/>
      <c r="CV31" s="365"/>
      <c r="CW31" s="365"/>
      <c r="CX31" s="365"/>
      <c r="CY31" s="365"/>
      <c r="CZ31" s="365"/>
      <c r="DA31" s="365"/>
      <c r="DB31" s="365"/>
      <c r="DC31" s="365"/>
      <c r="DD31" s="365"/>
      <c r="DE31" s="365"/>
      <c r="DF31" s="365"/>
      <c r="DG31" s="365"/>
      <c r="DH31" s="365"/>
      <c r="DI31" s="365"/>
      <c r="DJ31" s="365"/>
      <c r="DK31" s="365"/>
      <c r="DL31" s="365"/>
      <c r="DM31" s="365"/>
      <c r="DN31" s="365"/>
      <c r="DO31" s="365"/>
      <c r="DP31" s="365"/>
      <c r="DQ31" s="365"/>
      <c r="DR31" s="365"/>
      <c r="DS31" s="365"/>
      <c r="DT31" s="365"/>
      <c r="DU31" s="365"/>
      <c r="DV31" s="365"/>
      <c r="DW31" s="365"/>
      <c r="DX31" s="365"/>
      <c r="DY31" s="365"/>
      <c r="DZ31" s="365"/>
      <c r="EA31" s="365"/>
      <c r="EB31" s="365"/>
      <c r="EC31" s="365"/>
      <c r="ED31" s="365"/>
      <c r="EE31" s="365"/>
      <c r="EF31" s="365"/>
      <c r="EG31" s="365"/>
      <c r="EH31" s="365"/>
      <c r="EI31" s="365"/>
      <c r="EJ31" s="365"/>
      <c r="EK31" s="365"/>
      <c r="EL31" s="365"/>
      <c r="EM31" s="365"/>
      <c r="EN31" s="365"/>
      <c r="EO31" s="365"/>
      <c r="EP31" s="365"/>
      <c r="EQ31" s="365"/>
      <c r="ER31" s="365"/>
      <c r="ES31" s="365"/>
      <c r="ET31" s="365"/>
      <c r="EU31" s="365"/>
      <c r="EV31" s="365"/>
      <c r="EW31" s="365"/>
      <c r="EX31" s="365"/>
      <c r="EY31" s="365"/>
      <c r="EZ31" s="365"/>
      <c r="FA31" s="365"/>
      <c r="FB31" s="365"/>
      <c r="FC31" s="365"/>
      <c r="FD31" s="365"/>
      <c r="FE31" s="365"/>
      <c r="FF31" s="365"/>
      <c r="FG31" s="365"/>
      <c r="FH31" s="365"/>
      <c r="FI31" s="365"/>
      <c r="FJ31" s="365"/>
      <c r="FK31" s="365"/>
      <c r="FL31" s="365"/>
      <c r="FM31" s="365"/>
      <c r="FN31" s="365"/>
      <c r="FO31" s="365"/>
      <c r="FP31" s="365"/>
      <c r="FQ31" s="365"/>
      <c r="FR31" s="365"/>
      <c r="FS31" s="365"/>
      <c r="FT31" s="365"/>
      <c r="FU31" s="365"/>
      <c r="FV31" s="365"/>
      <c r="FW31" s="365"/>
      <c r="FX31" s="365"/>
      <c r="FY31" s="365"/>
      <c r="FZ31" s="365"/>
      <c r="GA31" s="365"/>
      <c r="GB31" s="365"/>
      <c r="GC31" s="365"/>
      <c r="GD31" s="365"/>
      <c r="GE31" s="365"/>
      <c r="GF31" s="365"/>
      <c r="GG31" s="365"/>
      <c r="GH31" s="365"/>
      <c r="GI31" s="365"/>
      <c r="GJ31" s="365"/>
      <c r="GK31" s="365"/>
      <c r="GL31" s="365"/>
      <c r="GM31" s="365"/>
      <c r="GN31" s="365"/>
      <c r="GO31" s="365"/>
      <c r="GP31" s="365"/>
      <c r="GQ31" s="365"/>
      <c r="GR31" s="365"/>
      <c r="GS31" s="365"/>
      <c r="GT31" s="365"/>
      <c r="GU31" s="365"/>
      <c r="GV31" s="365"/>
      <c r="GW31" s="365"/>
      <c r="GX31" s="365"/>
      <c r="GY31" s="365"/>
      <c r="GZ31" s="365"/>
      <c r="HA31" s="365"/>
      <c r="HB31" s="365"/>
      <c r="HC31" s="365"/>
      <c r="HD31" s="365"/>
      <c r="HE31" s="365"/>
      <c r="HF31" s="365"/>
      <c r="HG31" s="365"/>
      <c r="HH31" s="365"/>
      <c r="HI31" s="365"/>
      <c r="HJ31" s="365"/>
      <c r="HK31" s="365"/>
      <c r="HL31" s="365"/>
      <c r="HM31" s="365"/>
      <c r="HN31" s="365"/>
      <c r="HO31" s="365"/>
      <c r="HP31" s="365"/>
      <c r="HQ31" s="365"/>
      <c r="HR31" s="365"/>
      <c r="HS31" s="365"/>
      <c r="HT31" s="365"/>
      <c r="HU31" s="365"/>
      <c r="HV31" s="365"/>
      <c r="HW31" s="365"/>
      <c r="HX31" s="365"/>
      <c r="HY31" s="365"/>
    </row>
    <row r="32" spans="1:233" ht="13.5" thickBot="1">
      <c r="A32" s="365"/>
      <c r="B32" s="80"/>
      <c r="C32" s="81"/>
      <c r="D32" s="490"/>
      <c r="E32" s="491"/>
      <c r="F32" s="368"/>
      <c r="G32" s="377"/>
      <c r="H32" s="365"/>
      <c r="I32" s="365"/>
      <c r="J32" s="365"/>
      <c r="K32" s="365"/>
      <c r="L32" s="365"/>
      <c r="M32" s="365"/>
      <c r="N32" s="365"/>
      <c r="O32" s="365"/>
      <c r="P32" s="365"/>
      <c r="Q32" s="365"/>
      <c r="R32" s="365"/>
      <c r="S32" s="365"/>
      <c r="T32" s="365"/>
      <c r="U32" s="365"/>
      <c r="V32" s="365"/>
      <c r="W32" s="365"/>
      <c r="X32" s="365"/>
      <c r="Y32" s="365"/>
      <c r="Z32" s="365"/>
      <c r="AA32" s="365"/>
      <c r="AB32" s="365"/>
      <c r="AC32" s="365"/>
      <c r="AD32" s="365"/>
      <c r="AE32" s="365"/>
      <c r="AF32" s="365"/>
      <c r="AG32" s="365"/>
      <c r="AH32" s="365"/>
      <c r="AI32" s="365"/>
      <c r="AJ32" s="365"/>
      <c r="AK32" s="365"/>
      <c r="AL32" s="365"/>
      <c r="AM32" s="365"/>
      <c r="AN32" s="365"/>
      <c r="AO32" s="365"/>
      <c r="AP32" s="365"/>
      <c r="AQ32" s="365"/>
      <c r="AR32" s="365"/>
      <c r="AS32" s="365"/>
      <c r="AT32" s="365"/>
      <c r="AU32" s="365"/>
      <c r="AV32" s="365"/>
      <c r="AW32" s="365"/>
      <c r="AX32" s="365"/>
      <c r="AY32" s="365"/>
      <c r="AZ32" s="365"/>
      <c r="BA32" s="365"/>
      <c r="BB32" s="365"/>
      <c r="BC32" s="365"/>
      <c r="BD32" s="365"/>
      <c r="BE32" s="365"/>
      <c r="BF32" s="365"/>
      <c r="BG32" s="365"/>
      <c r="BH32" s="365"/>
      <c r="BI32" s="365"/>
      <c r="BJ32" s="365"/>
      <c r="BK32" s="365"/>
      <c r="BL32" s="365"/>
      <c r="BM32" s="365"/>
      <c r="BN32" s="365"/>
      <c r="BO32" s="365"/>
      <c r="BP32" s="365"/>
      <c r="BQ32" s="365"/>
      <c r="BR32" s="365"/>
      <c r="BS32" s="365"/>
      <c r="BT32" s="365"/>
      <c r="BU32" s="365"/>
      <c r="BV32" s="365"/>
      <c r="BW32" s="365"/>
      <c r="BX32" s="365"/>
      <c r="BY32" s="365"/>
      <c r="BZ32" s="365"/>
      <c r="CA32" s="365"/>
      <c r="CB32" s="365"/>
      <c r="CC32" s="365"/>
      <c r="CD32" s="365"/>
      <c r="CE32" s="365"/>
      <c r="CF32" s="365"/>
      <c r="CG32" s="365"/>
      <c r="CH32" s="365"/>
      <c r="CI32" s="365"/>
      <c r="CJ32" s="365"/>
      <c r="CK32" s="365"/>
      <c r="CL32" s="365"/>
      <c r="CM32" s="365"/>
      <c r="CN32" s="365"/>
      <c r="CO32" s="365"/>
      <c r="CP32" s="365"/>
      <c r="CQ32" s="365"/>
      <c r="CR32" s="365"/>
      <c r="CS32" s="365"/>
      <c r="CT32" s="365"/>
      <c r="CU32" s="365"/>
      <c r="CV32" s="365"/>
      <c r="CW32" s="365"/>
      <c r="CX32" s="365"/>
      <c r="CY32" s="365"/>
      <c r="CZ32" s="365"/>
      <c r="DA32" s="365"/>
      <c r="DB32" s="365"/>
      <c r="DC32" s="365"/>
      <c r="DD32" s="365"/>
      <c r="DE32" s="365"/>
      <c r="DF32" s="365"/>
      <c r="DG32" s="365"/>
      <c r="DH32" s="365"/>
      <c r="DI32" s="365"/>
      <c r="DJ32" s="365"/>
      <c r="DK32" s="365"/>
      <c r="DL32" s="365"/>
      <c r="DM32" s="365"/>
      <c r="DN32" s="365"/>
      <c r="DO32" s="365"/>
      <c r="DP32" s="365"/>
      <c r="DQ32" s="365"/>
      <c r="DR32" s="365"/>
      <c r="DS32" s="365"/>
      <c r="DT32" s="365"/>
      <c r="DU32" s="365"/>
      <c r="DV32" s="365"/>
      <c r="DW32" s="365"/>
      <c r="DX32" s="365"/>
      <c r="DY32" s="365"/>
      <c r="DZ32" s="365"/>
      <c r="EA32" s="365"/>
      <c r="EB32" s="365"/>
      <c r="EC32" s="365"/>
      <c r="ED32" s="365"/>
      <c r="EE32" s="365"/>
      <c r="EF32" s="365"/>
      <c r="EG32" s="365"/>
      <c r="EH32" s="365"/>
      <c r="EI32" s="365"/>
      <c r="EJ32" s="365"/>
      <c r="EK32" s="365"/>
      <c r="EL32" s="365"/>
      <c r="EM32" s="365"/>
      <c r="EN32" s="365"/>
      <c r="EO32" s="365"/>
      <c r="EP32" s="365"/>
      <c r="EQ32" s="365"/>
      <c r="ER32" s="365"/>
      <c r="ES32" s="365"/>
      <c r="ET32" s="365"/>
      <c r="EU32" s="365"/>
      <c r="EV32" s="365"/>
      <c r="EW32" s="365"/>
      <c r="EX32" s="365"/>
      <c r="EY32" s="365"/>
      <c r="EZ32" s="365"/>
      <c r="FA32" s="365"/>
      <c r="FB32" s="365"/>
      <c r="FC32" s="365"/>
      <c r="FD32" s="365"/>
      <c r="FE32" s="365"/>
      <c r="FF32" s="365"/>
      <c r="FG32" s="365"/>
      <c r="FH32" s="365"/>
      <c r="FI32" s="365"/>
      <c r="FJ32" s="365"/>
      <c r="FK32" s="365"/>
      <c r="FL32" s="365"/>
      <c r="FM32" s="365"/>
      <c r="FN32" s="365"/>
      <c r="FO32" s="365"/>
      <c r="FP32" s="365"/>
      <c r="FQ32" s="365"/>
      <c r="FR32" s="365"/>
      <c r="FS32" s="365"/>
      <c r="FT32" s="365"/>
      <c r="FU32" s="365"/>
      <c r="FV32" s="365"/>
      <c r="FW32" s="365"/>
      <c r="FX32" s="365"/>
      <c r="FY32" s="365"/>
      <c r="FZ32" s="365"/>
      <c r="GA32" s="365"/>
      <c r="GB32" s="365"/>
      <c r="GC32" s="365"/>
      <c r="GD32" s="365"/>
      <c r="GE32" s="365"/>
      <c r="GF32" s="365"/>
      <c r="GG32" s="365"/>
      <c r="GH32" s="365"/>
      <c r="GI32" s="365"/>
      <c r="GJ32" s="365"/>
      <c r="GK32" s="365"/>
      <c r="GL32" s="365"/>
      <c r="GM32" s="365"/>
      <c r="GN32" s="365"/>
      <c r="GO32" s="365"/>
      <c r="GP32" s="365"/>
      <c r="GQ32" s="365"/>
      <c r="GR32" s="365"/>
      <c r="GS32" s="365"/>
      <c r="GT32" s="365"/>
      <c r="GU32" s="365"/>
      <c r="GV32" s="365"/>
      <c r="GW32" s="365"/>
      <c r="GX32" s="365"/>
      <c r="GY32" s="365"/>
      <c r="GZ32" s="365"/>
      <c r="HA32" s="365"/>
      <c r="HB32" s="365"/>
      <c r="HC32" s="365"/>
      <c r="HD32" s="365"/>
      <c r="HE32" s="365"/>
      <c r="HF32" s="365"/>
      <c r="HG32" s="365"/>
      <c r="HH32" s="365"/>
      <c r="HI32" s="365"/>
      <c r="HJ32" s="365"/>
      <c r="HK32" s="365"/>
      <c r="HL32" s="365"/>
      <c r="HM32" s="365"/>
      <c r="HN32" s="365"/>
      <c r="HO32" s="365"/>
      <c r="HP32" s="365"/>
      <c r="HQ32" s="365"/>
      <c r="HR32" s="365"/>
      <c r="HS32" s="365"/>
      <c r="HT32" s="365"/>
      <c r="HU32" s="365"/>
      <c r="HV32" s="365"/>
      <c r="HW32" s="365"/>
      <c r="HX32" s="365"/>
      <c r="HY32" s="365"/>
    </row>
    <row r="33" spans="1:6" s="365" customFormat="1" ht="13.5" thickTop="1">
      <c r="A33" s="378"/>
      <c r="B33" s="378"/>
      <c r="F33" s="377"/>
    </row>
    <row r="34" s="365" customFormat="1" ht="13.5" thickBot="1">
      <c r="G34" s="377"/>
    </row>
    <row r="35" spans="1:233" ht="21.75" thickBot="1" thickTop="1">
      <c r="A35" s="365"/>
      <c r="B35" s="435" t="s">
        <v>114</v>
      </c>
      <c r="C35" s="444"/>
      <c r="D35" s="431"/>
      <c r="E35" s="377"/>
      <c r="F35" s="377"/>
      <c r="G35" s="377"/>
      <c r="H35" s="365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5"/>
      <c r="AC35" s="365"/>
      <c r="AD35" s="365"/>
      <c r="AE35" s="365"/>
      <c r="AF35" s="365"/>
      <c r="AG35" s="365"/>
      <c r="AH35" s="365"/>
      <c r="AI35" s="365"/>
      <c r="AJ35" s="365"/>
      <c r="AK35" s="365"/>
      <c r="AL35" s="365"/>
      <c r="AM35" s="365"/>
      <c r="AN35" s="365"/>
      <c r="AO35" s="365"/>
      <c r="AP35" s="365"/>
      <c r="AQ35" s="365"/>
      <c r="AR35" s="365"/>
      <c r="AS35" s="365"/>
      <c r="AT35" s="365"/>
      <c r="AU35" s="365"/>
      <c r="AV35" s="365"/>
      <c r="AW35" s="365"/>
      <c r="AX35" s="365"/>
      <c r="AY35" s="365"/>
      <c r="AZ35" s="365"/>
      <c r="BA35" s="365"/>
      <c r="BB35" s="365"/>
      <c r="BC35" s="365"/>
      <c r="BD35" s="365"/>
      <c r="BE35" s="365"/>
      <c r="BF35" s="365"/>
      <c r="BG35" s="365"/>
      <c r="BH35" s="365"/>
      <c r="BI35" s="365"/>
      <c r="BJ35" s="365"/>
      <c r="BK35" s="365"/>
      <c r="BL35" s="365"/>
      <c r="BM35" s="365"/>
      <c r="BN35" s="365"/>
      <c r="BO35" s="365"/>
      <c r="BP35" s="365"/>
      <c r="BQ35" s="365"/>
      <c r="BR35" s="365"/>
      <c r="BS35" s="365"/>
      <c r="BT35" s="365"/>
      <c r="BU35" s="365"/>
      <c r="BV35" s="365"/>
      <c r="BW35" s="365"/>
      <c r="BX35" s="365"/>
      <c r="BY35" s="365"/>
      <c r="BZ35" s="365"/>
      <c r="CA35" s="365"/>
      <c r="CB35" s="365"/>
      <c r="CC35" s="365"/>
      <c r="CD35" s="365"/>
      <c r="CE35" s="365"/>
      <c r="CF35" s="365"/>
      <c r="CG35" s="365"/>
      <c r="CH35" s="365"/>
      <c r="CI35" s="365"/>
      <c r="CJ35" s="365"/>
      <c r="CK35" s="365"/>
      <c r="CL35" s="365"/>
      <c r="CM35" s="365"/>
      <c r="CN35" s="365"/>
      <c r="CO35" s="365"/>
      <c r="CP35" s="365"/>
      <c r="CQ35" s="365"/>
      <c r="CR35" s="365"/>
      <c r="CS35" s="365"/>
      <c r="CT35" s="365"/>
      <c r="CU35" s="365"/>
      <c r="CV35" s="365"/>
      <c r="CW35" s="365"/>
      <c r="CX35" s="365"/>
      <c r="CY35" s="365"/>
      <c r="CZ35" s="365"/>
      <c r="DA35" s="365"/>
      <c r="DB35" s="365"/>
      <c r="DC35" s="365"/>
      <c r="DD35" s="365"/>
      <c r="DE35" s="365"/>
      <c r="DF35" s="365"/>
      <c r="DG35" s="365"/>
      <c r="DH35" s="365"/>
      <c r="DI35" s="365"/>
      <c r="DJ35" s="365"/>
      <c r="DK35" s="365"/>
      <c r="DL35" s="365"/>
      <c r="DM35" s="365"/>
      <c r="DN35" s="365"/>
      <c r="DO35" s="365"/>
      <c r="DP35" s="365"/>
      <c r="DQ35" s="365"/>
      <c r="DR35" s="365"/>
      <c r="DS35" s="365"/>
      <c r="DT35" s="365"/>
      <c r="DU35" s="365"/>
      <c r="DV35" s="365"/>
      <c r="DW35" s="365"/>
      <c r="DX35" s="365"/>
      <c r="DY35" s="365"/>
      <c r="DZ35" s="365"/>
      <c r="EA35" s="365"/>
      <c r="EB35" s="365"/>
      <c r="EC35" s="365"/>
      <c r="ED35" s="365"/>
      <c r="EE35" s="365"/>
      <c r="EF35" s="365"/>
      <c r="EG35" s="365"/>
      <c r="EH35" s="365"/>
      <c r="EI35" s="365"/>
      <c r="EJ35" s="365"/>
      <c r="EK35" s="365"/>
      <c r="EL35" s="365"/>
      <c r="EM35" s="365"/>
      <c r="EN35" s="365"/>
      <c r="EO35" s="365"/>
      <c r="EP35" s="365"/>
      <c r="EQ35" s="365"/>
      <c r="ER35" s="365"/>
      <c r="ES35" s="365"/>
      <c r="ET35" s="365"/>
      <c r="EU35" s="365"/>
      <c r="EV35" s="365"/>
      <c r="EW35" s="365"/>
      <c r="EX35" s="365"/>
      <c r="EY35" s="365"/>
      <c r="EZ35" s="365"/>
      <c r="FA35" s="365"/>
      <c r="FB35" s="365"/>
      <c r="FC35" s="365"/>
      <c r="FD35" s="365"/>
      <c r="FE35" s="365"/>
      <c r="FF35" s="365"/>
      <c r="FG35" s="365"/>
      <c r="FH35" s="365"/>
      <c r="FI35" s="365"/>
      <c r="FJ35" s="365"/>
      <c r="FK35" s="365"/>
      <c r="FL35" s="365"/>
      <c r="FM35" s="365"/>
      <c r="FN35" s="365"/>
      <c r="FO35" s="365"/>
      <c r="FP35" s="365"/>
      <c r="FQ35" s="365"/>
      <c r="FR35" s="365"/>
      <c r="FS35" s="365"/>
      <c r="FT35" s="365"/>
      <c r="FU35" s="365"/>
      <c r="FV35" s="365"/>
      <c r="FW35" s="365"/>
      <c r="FX35" s="365"/>
      <c r="FY35" s="365"/>
      <c r="FZ35" s="365"/>
      <c r="GA35" s="365"/>
      <c r="GB35" s="365"/>
      <c r="GC35" s="365"/>
      <c r="GD35" s="365"/>
      <c r="GE35" s="365"/>
      <c r="GF35" s="365"/>
      <c r="GG35" s="365"/>
      <c r="GH35" s="365"/>
      <c r="GI35" s="365"/>
      <c r="GJ35" s="365"/>
      <c r="GK35" s="365"/>
      <c r="GL35" s="365"/>
      <c r="GM35" s="365"/>
      <c r="GN35" s="365"/>
      <c r="GO35" s="365"/>
      <c r="GP35" s="365"/>
      <c r="GQ35" s="365"/>
      <c r="GR35" s="365"/>
      <c r="GS35" s="365"/>
      <c r="GT35" s="365"/>
      <c r="GU35" s="365"/>
      <c r="GV35" s="365"/>
      <c r="GW35" s="365"/>
      <c r="GX35" s="365"/>
      <c r="GY35" s="365"/>
      <c r="GZ35" s="365"/>
      <c r="HA35" s="365"/>
      <c r="HB35" s="365"/>
      <c r="HC35" s="365"/>
      <c r="HD35" s="365"/>
      <c r="HE35" s="365"/>
      <c r="HF35" s="365"/>
      <c r="HG35" s="365"/>
      <c r="HH35" s="365"/>
      <c r="HI35" s="365"/>
      <c r="HJ35" s="365"/>
      <c r="HK35" s="365"/>
      <c r="HL35" s="365"/>
      <c r="HM35" s="365"/>
      <c r="HN35" s="365"/>
      <c r="HO35" s="365"/>
      <c r="HP35" s="365"/>
      <c r="HQ35" s="365"/>
      <c r="HR35" s="365"/>
      <c r="HS35" s="365"/>
      <c r="HT35" s="365"/>
      <c r="HU35" s="365"/>
      <c r="HV35" s="365"/>
      <c r="HW35" s="365"/>
      <c r="HX35" s="365"/>
      <c r="HY35" s="365"/>
    </row>
    <row r="36" spans="1:233" ht="12.75">
      <c r="A36" s="394"/>
      <c r="B36" s="68"/>
      <c r="C36" s="43"/>
      <c r="D36" s="431"/>
      <c r="E36" s="377"/>
      <c r="F36" s="377"/>
      <c r="G36" s="377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  <c r="W36" s="365"/>
      <c r="X36" s="365"/>
      <c r="Y36" s="365"/>
      <c r="Z36" s="365"/>
      <c r="AA36" s="365"/>
      <c r="AB36" s="365"/>
      <c r="AC36" s="365"/>
      <c r="AD36" s="365"/>
      <c r="AE36" s="365"/>
      <c r="AF36" s="365"/>
      <c r="AG36" s="365"/>
      <c r="AH36" s="365"/>
      <c r="AI36" s="365"/>
      <c r="AJ36" s="365"/>
      <c r="AK36" s="365"/>
      <c r="AL36" s="365"/>
      <c r="AM36" s="365"/>
      <c r="AN36" s="365"/>
      <c r="AO36" s="365"/>
      <c r="AP36" s="365"/>
      <c r="AQ36" s="365"/>
      <c r="AR36" s="365"/>
      <c r="AS36" s="365"/>
      <c r="AT36" s="365"/>
      <c r="AU36" s="365"/>
      <c r="AV36" s="365"/>
      <c r="AW36" s="365"/>
      <c r="AX36" s="365"/>
      <c r="AY36" s="365"/>
      <c r="AZ36" s="365"/>
      <c r="BA36" s="365"/>
      <c r="BB36" s="365"/>
      <c r="BC36" s="365"/>
      <c r="BD36" s="365"/>
      <c r="BE36" s="365"/>
      <c r="BF36" s="365"/>
      <c r="BG36" s="365"/>
      <c r="BH36" s="365"/>
      <c r="BI36" s="365"/>
      <c r="BJ36" s="365"/>
      <c r="BK36" s="365"/>
      <c r="BL36" s="365"/>
      <c r="BM36" s="365"/>
      <c r="BN36" s="365"/>
      <c r="BO36" s="365"/>
      <c r="BP36" s="365"/>
      <c r="BQ36" s="365"/>
      <c r="BR36" s="365"/>
      <c r="BS36" s="365"/>
      <c r="BT36" s="365"/>
      <c r="BU36" s="365"/>
      <c r="BV36" s="365"/>
      <c r="BW36" s="365"/>
      <c r="BX36" s="365"/>
      <c r="BY36" s="365"/>
      <c r="BZ36" s="365"/>
      <c r="CA36" s="365"/>
      <c r="CB36" s="365"/>
      <c r="CC36" s="365"/>
      <c r="CD36" s="365"/>
      <c r="CE36" s="365"/>
      <c r="CF36" s="365"/>
      <c r="CG36" s="365"/>
      <c r="CH36" s="365"/>
      <c r="CI36" s="365"/>
      <c r="CJ36" s="365"/>
      <c r="CK36" s="365"/>
      <c r="CL36" s="365"/>
      <c r="CM36" s="365"/>
      <c r="CN36" s="365"/>
      <c r="CO36" s="365"/>
      <c r="CP36" s="365"/>
      <c r="CQ36" s="365"/>
      <c r="CR36" s="365"/>
      <c r="CS36" s="365"/>
      <c r="CT36" s="365"/>
      <c r="CU36" s="365"/>
      <c r="CV36" s="365"/>
      <c r="CW36" s="365"/>
      <c r="CX36" s="365"/>
      <c r="CY36" s="365"/>
      <c r="CZ36" s="365"/>
      <c r="DA36" s="365"/>
      <c r="DB36" s="365"/>
      <c r="DC36" s="365"/>
      <c r="DD36" s="365"/>
      <c r="DE36" s="365"/>
      <c r="DF36" s="365"/>
      <c r="DG36" s="365"/>
      <c r="DH36" s="365"/>
      <c r="DI36" s="365"/>
      <c r="DJ36" s="365"/>
      <c r="DK36" s="365"/>
      <c r="DL36" s="365"/>
      <c r="DM36" s="365"/>
      <c r="DN36" s="365"/>
      <c r="DO36" s="365"/>
      <c r="DP36" s="365"/>
      <c r="DQ36" s="365"/>
      <c r="DR36" s="365"/>
      <c r="DS36" s="365"/>
      <c r="DT36" s="365"/>
      <c r="DU36" s="365"/>
      <c r="DV36" s="365"/>
      <c r="DW36" s="365"/>
      <c r="DX36" s="365"/>
      <c r="DY36" s="365"/>
      <c r="DZ36" s="365"/>
      <c r="EA36" s="365"/>
      <c r="EB36" s="365"/>
      <c r="EC36" s="365"/>
      <c r="ED36" s="365"/>
      <c r="EE36" s="365"/>
      <c r="EF36" s="365"/>
      <c r="EG36" s="365"/>
      <c r="EH36" s="365"/>
      <c r="EI36" s="365"/>
      <c r="EJ36" s="365"/>
      <c r="EK36" s="365"/>
      <c r="EL36" s="365"/>
      <c r="EM36" s="365"/>
      <c r="EN36" s="365"/>
      <c r="EO36" s="365"/>
      <c r="EP36" s="365"/>
      <c r="EQ36" s="365"/>
      <c r="ER36" s="365"/>
      <c r="ES36" s="365"/>
      <c r="ET36" s="365"/>
      <c r="EU36" s="365"/>
      <c r="EV36" s="365"/>
      <c r="EW36" s="365"/>
      <c r="EX36" s="365"/>
      <c r="EY36" s="365"/>
      <c r="EZ36" s="365"/>
      <c r="FA36" s="365"/>
      <c r="FB36" s="365"/>
      <c r="FC36" s="365"/>
      <c r="FD36" s="365"/>
      <c r="FE36" s="365"/>
      <c r="FF36" s="365"/>
      <c r="FG36" s="365"/>
      <c r="FH36" s="365"/>
      <c r="FI36" s="365"/>
      <c r="FJ36" s="365"/>
      <c r="FK36" s="365"/>
      <c r="FL36" s="365"/>
      <c r="FM36" s="365"/>
      <c r="FN36" s="365"/>
      <c r="FO36" s="365"/>
      <c r="FP36" s="365"/>
      <c r="FQ36" s="365"/>
      <c r="FR36" s="365"/>
      <c r="FS36" s="365"/>
      <c r="FT36" s="365"/>
      <c r="FU36" s="365"/>
      <c r="FV36" s="365"/>
      <c r="FW36" s="365"/>
      <c r="FX36" s="365"/>
      <c r="FY36" s="365"/>
      <c r="FZ36" s="365"/>
      <c r="GA36" s="365"/>
      <c r="GB36" s="365"/>
      <c r="GC36" s="365"/>
      <c r="GD36" s="365"/>
      <c r="GE36" s="365"/>
      <c r="GF36" s="365"/>
      <c r="GG36" s="365"/>
      <c r="GH36" s="365"/>
      <c r="GI36" s="365"/>
      <c r="GJ36" s="365"/>
      <c r="GK36" s="365"/>
      <c r="GL36" s="365"/>
      <c r="GM36" s="365"/>
      <c r="GN36" s="365"/>
      <c r="GO36" s="365"/>
      <c r="GP36" s="365"/>
      <c r="GQ36" s="365"/>
      <c r="GR36" s="365"/>
      <c r="GS36" s="365"/>
      <c r="GT36" s="365"/>
      <c r="GU36" s="365"/>
      <c r="GV36" s="365"/>
      <c r="GW36" s="365"/>
      <c r="GX36" s="365"/>
      <c r="GY36" s="365"/>
      <c r="GZ36" s="365"/>
      <c r="HA36" s="365"/>
      <c r="HB36" s="365"/>
      <c r="HC36" s="365"/>
      <c r="HD36" s="365"/>
      <c r="HE36" s="365"/>
      <c r="HF36" s="365"/>
      <c r="HG36" s="365"/>
      <c r="HH36" s="365"/>
      <c r="HI36" s="365"/>
      <c r="HJ36" s="365"/>
      <c r="HK36" s="365"/>
      <c r="HL36" s="365"/>
      <c r="HM36" s="365"/>
      <c r="HN36" s="365"/>
      <c r="HO36" s="365"/>
      <c r="HP36" s="365"/>
      <c r="HQ36" s="365"/>
      <c r="HR36" s="365"/>
      <c r="HS36" s="365"/>
      <c r="HT36" s="365"/>
      <c r="HU36" s="365"/>
      <c r="HV36" s="365"/>
      <c r="HW36" s="365"/>
      <c r="HX36" s="365"/>
      <c r="HY36" s="365"/>
    </row>
    <row r="37" spans="1:233" ht="12.75">
      <c r="A37" s="394"/>
      <c r="B37" s="78" t="s">
        <v>275</v>
      </c>
      <c r="C37" s="347">
        <f>'Existing Management Practices'!C37</f>
        <v>0.7</v>
      </c>
      <c r="D37" s="431"/>
      <c r="E37" s="377"/>
      <c r="F37" s="377"/>
      <c r="G37" s="377"/>
      <c r="H37" s="365"/>
      <c r="I37" s="365"/>
      <c r="J37" s="365"/>
      <c r="K37" s="365"/>
      <c r="L37" s="365"/>
      <c r="M37" s="365"/>
      <c r="N37" s="365"/>
      <c r="O37" s="365"/>
      <c r="P37" s="365"/>
      <c r="Q37" s="365"/>
      <c r="R37" s="365"/>
      <c r="S37" s="365"/>
      <c r="T37" s="365"/>
      <c r="U37" s="365"/>
      <c r="V37" s="365"/>
      <c r="W37" s="365"/>
      <c r="X37" s="365"/>
      <c r="Y37" s="365"/>
      <c r="Z37" s="365"/>
      <c r="AA37" s="365"/>
      <c r="AB37" s="365"/>
      <c r="AC37" s="365"/>
      <c r="AD37" s="365"/>
      <c r="AE37" s="365"/>
      <c r="AF37" s="365"/>
      <c r="AG37" s="365"/>
      <c r="AH37" s="365"/>
      <c r="AI37" s="365"/>
      <c r="AJ37" s="365"/>
      <c r="AK37" s="365"/>
      <c r="AL37" s="365"/>
      <c r="AM37" s="365"/>
      <c r="AN37" s="365"/>
      <c r="AO37" s="365"/>
      <c r="AP37" s="365"/>
      <c r="AQ37" s="365"/>
      <c r="AR37" s="365"/>
      <c r="AS37" s="365"/>
      <c r="AT37" s="365"/>
      <c r="AU37" s="365"/>
      <c r="AV37" s="365"/>
      <c r="AW37" s="365"/>
      <c r="AX37" s="365"/>
      <c r="AY37" s="365"/>
      <c r="AZ37" s="365"/>
      <c r="BA37" s="365"/>
      <c r="BB37" s="365"/>
      <c r="BC37" s="365"/>
      <c r="BD37" s="365"/>
      <c r="BE37" s="365"/>
      <c r="BF37" s="365"/>
      <c r="BG37" s="365"/>
      <c r="BH37" s="365"/>
      <c r="BI37" s="365"/>
      <c r="BJ37" s="365"/>
      <c r="BK37" s="365"/>
      <c r="BL37" s="365"/>
      <c r="BM37" s="365"/>
      <c r="BN37" s="365"/>
      <c r="BO37" s="365"/>
      <c r="BP37" s="365"/>
      <c r="BQ37" s="365"/>
      <c r="BR37" s="365"/>
      <c r="BS37" s="365"/>
      <c r="BT37" s="365"/>
      <c r="BU37" s="365"/>
      <c r="BV37" s="365"/>
      <c r="BW37" s="365"/>
      <c r="BX37" s="365"/>
      <c r="BY37" s="365"/>
      <c r="BZ37" s="365"/>
      <c r="CA37" s="365"/>
      <c r="CB37" s="365"/>
      <c r="CC37" s="365"/>
      <c r="CD37" s="365"/>
      <c r="CE37" s="365"/>
      <c r="CF37" s="365"/>
      <c r="CG37" s="365"/>
      <c r="CH37" s="365"/>
      <c r="CI37" s="365"/>
      <c r="CJ37" s="365"/>
      <c r="CK37" s="365"/>
      <c r="CL37" s="365"/>
      <c r="CM37" s="365"/>
      <c r="CN37" s="365"/>
      <c r="CO37" s="365"/>
      <c r="CP37" s="365"/>
      <c r="CQ37" s="365"/>
      <c r="CR37" s="365"/>
      <c r="CS37" s="365"/>
      <c r="CT37" s="365"/>
      <c r="CU37" s="365"/>
      <c r="CV37" s="365"/>
      <c r="CW37" s="365"/>
      <c r="CX37" s="365"/>
      <c r="CY37" s="365"/>
      <c r="CZ37" s="365"/>
      <c r="DA37" s="365"/>
      <c r="DB37" s="365"/>
      <c r="DC37" s="365"/>
      <c r="DD37" s="365"/>
      <c r="DE37" s="365"/>
      <c r="DF37" s="365"/>
      <c r="DG37" s="365"/>
      <c r="DH37" s="365"/>
      <c r="DI37" s="365"/>
      <c r="DJ37" s="365"/>
      <c r="DK37" s="365"/>
      <c r="DL37" s="365"/>
      <c r="DM37" s="365"/>
      <c r="DN37" s="365"/>
      <c r="DO37" s="365"/>
      <c r="DP37" s="365"/>
      <c r="DQ37" s="365"/>
      <c r="DR37" s="365"/>
      <c r="DS37" s="365"/>
      <c r="DT37" s="365"/>
      <c r="DU37" s="365"/>
      <c r="DV37" s="365"/>
      <c r="DW37" s="365"/>
      <c r="DX37" s="365"/>
      <c r="DY37" s="365"/>
      <c r="DZ37" s="365"/>
      <c r="EA37" s="365"/>
      <c r="EB37" s="365"/>
      <c r="EC37" s="365"/>
      <c r="ED37" s="365"/>
      <c r="EE37" s="365"/>
      <c r="EF37" s="365"/>
      <c r="EG37" s="365"/>
      <c r="EH37" s="365"/>
      <c r="EI37" s="365"/>
      <c r="EJ37" s="365"/>
      <c r="EK37" s="365"/>
      <c r="EL37" s="365"/>
      <c r="EM37" s="365"/>
      <c r="EN37" s="365"/>
      <c r="EO37" s="365"/>
      <c r="EP37" s="365"/>
      <c r="EQ37" s="365"/>
      <c r="ER37" s="365"/>
      <c r="ES37" s="365"/>
      <c r="ET37" s="365"/>
      <c r="EU37" s="365"/>
      <c r="EV37" s="365"/>
      <c r="EW37" s="365"/>
      <c r="EX37" s="365"/>
      <c r="EY37" s="365"/>
      <c r="EZ37" s="365"/>
      <c r="FA37" s="365"/>
      <c r="FB37" s="365"/>
      <c r="FC37" s="365"/>
      <c r="FD37" s="365"/>
      <c r="FE37" s="365"/>
      <c r="FF37" s="365"/>
      <c r="FG37" s="365"/>
      <c r="FH37" s="365"/>
      <c r="FI37" s="365"/>
      <c r="FJ37" s="365"/>
      <c r="FK37" s="365"/>
      <c r="FL37" s="365"/>
      <c r="FM37" s="365"/>
      <c r="FN37" s="365"/>
      <c r="FO37" s="365"/>
      <c r="FP37" s="365"/>
      <c r="FQ37" s="365"/>
      <c r="FR37" s="365"/>
      <c r="FS37" s="365"/>
      <c r="FT37" s="365"/>
      <c r="FU37" s="365"/>
      <c r="FV37" s="365"/>
      <c r="FW37" s="365"/>
      <c r="FX37" s="365"/>
      <c r="FY37" s="365"/>
      <c r="FZ37" s="365"/>
      <c r="GA37" s="365"/>
      <c r="GB37" s="365"/>
      <c r="GC37" s="365"/>
      <c r="GD37" s="365"/>
      <c r="GE37" s="365"/>
      <c r="GF37" s="365"/>
      <c r="GG37" s="365"/>
      <c r="GH37" s="365"/>
      <c r="GI37" s="365"/>
      <c r="GJ37" s="365"/>
      <c r="GK37" s="365"/>
      <c r="GL37" s="365"/>
      <c r="GM37" s="365"/>
      <c r="GN37" s="365"/>
      <c r="GO37" s="365"/>
      <c r="GP37" s="365"/>
      <c r="GQ37" s="365"/>
      <c r="GR37" s="365"/>
      <c r="GS37" s="365"/>
      <c r="GT37" s="365"/>
      <c r="GU37" s="365"/>
      <c r="GV37" s="365"/>
      <c r="GW37" s="365"/>
      <c r="GX37" s="365"/>
      <c r="GY37" s="365"/>
      <c r="GZ37" s="365"/>
      <c r="HA37" s="365"/>
      <c r="HB37" s="365"/>
      <c r="HC37" s="365"/>
      <c r="HD37" s="365"/>
      <c r="HE37" s="365"/>
      <c r="HF37" s="365"/>
      <c r="HG37" s="365"/>
      <c r="HH37" s="365"/>
      <c r="HI37" s="365"/>
      <c r="HJ37" s="365"/>
      <c r="HK37" s="365"/>
      <c r="HL37" s="365"/>
      <c r="HM37" s="365"/>
      <c r="HN37" s="365"/>
      <c r="HO37" s="365"/>
      <c r="HP37" s="365"/>
      <c r="HQ37" s="365"/>
      <c r="HR37" s="365"/>
      <c r="HS37" s="365"/>
      <c r="HT37" s="365"/>
      <c r="HU37" s="365"/>
      <c r="HV37" s="365"/>
      <c r="HW37" s="365"/>
      <c r="HX37" s="365"/>
      <c r="HY37" s="365"/>
    </row>
    <row r="38" spans="1:233" ht="12.75">
      <c r="A38" s="394"/>
      <c r="B38" s="78"/>
      <c r="C38" s="338"/>
      <c r="D38" s="431"/>
      <c r="E38" s="377"/>
      <c r="F38" s="377"/>
      <c r="G38" s="377"/>
      <c r="H38" s="365"/>
      <c r="I38" s="365"/>
      <c r="J38" s="365"/>
      <c r="K38" s="365"/>
      <c r="L38" s="365"/>
      <c r="M38" s="365"/>
      <c r="N38" s="365"/>
      <c r="O38" s="365"/>
      <c r="P38" s="365"/>
      <c r="Q38" s="365"/>
      <c r="R38" s="365"/>
      <c r="S38" s="365"/>
      <c r="T38" s="365"/>
      <c r="U38" s="365"/>
      <c r="V38" s="365"/>
      <c r="W38" s="365"/>
      <c r="X38" s="365"/>
      <c r="Y38" s="365"/>
      <c r="Z38" s="365"/>
      <c r="AA38" s="365"/>
      <c r="AB38" s="365"/>
      <c r="AC38" s="365"/>
      <c r="AD38" s="365"/>
      <c r="AE38" s="365"/>
      <c r="AF38" s="365"/>
      <c r="AG38" s="365"/>
      <c r="AH38" s="365"/>
      <c r="AI38" s="365"/>
      <c r="AJ38" s="365"/>
      <c r="AK38" s="365"/>
      <c r="AL38" s="365"/>
      <c r="AM38" s="365"/>
      <c r="AN38" s="365"/>
      <c r="AO38" s="365"/>
      <c r="AP38" s="365"/>
      <c r="AQ38" s="365"/>
      <c r="AR38" s="365"/>
      <c r="AS38" s="365"/>
      <c r="AT38" s="365"/>
      <c r="AU38" s="365"/>
      <c r="AV38" s="365"/>
      <c r="AW38" s="365"/>
      <c r="AX38" s="365"/>
      <c r="AY38" s="365"/>
      <c r="AZ38" s="365"/>
      <c r="BA38" s="365"/>
      <c r="BB38" s="365"/>
      <c r="BC38" s="365"/>
      <c r="BD38" s="365"/>
      <c r="BE38" s="365"/>
      <c r="BF38" s="365"/>
      <c r="BG38" s="365"/>
      <c r="BH38" s="365"/>
      <c r="BI38" s="365"/>
      <c r="BJ38" s="365"/>
      <c r="BK38" s="365"/>
      <c r="BL38" s="365"/>
      <c r="BM38" s="365"/>
      <c r="BN38" s="365"/>
      <c r="BO38" s="365"/>
      <c r="BP38" s="365"/>
      <c r="BQ38" s="365"/>
      <c r="BR38" s="365"/>
      <c r="BS38" s="365"/>
      <c r="BT38" s="365"/>
      <c r="BU38" s="365"/>
      <c r="BV38" s="365"/>
      <c r="BW38" s="365"/>
      <c r="BX38" s="365"/>
      <c r="BY38" s="365"/>
      <c r="BZ38" s="365"/>
      <c r="CA38" s="365"/>
      <c r="CB38" s="365"/>
      <c r="CC38" s="365"/>
      <c r="CD38" s="365"/>
      <c r="CE38" s="365"/>
      <c r="CF38" s="365"/>
      <c r="CG38" s="365"/>
      <c r="CH38" s="365"/>
      <c r="CI38" s="365"/>
      <c r="CJ38" s="365"/>
      <c r="CK38" s="365"/>
      <c r="CL38" s="365"/>
      <c r="CM38" s="365"/>
      <c r="CN38" s="365"/>
      <c r="CO38" s="365"/>
      <c r="CP38" s="365"/>
      <c r="CQ38" s="365"/>
      <c r="CR38" s="365"/>
      <c r="CS38" s="365"/>
      <c r="CT38" s="365"/>
      <c r="CU38" s="365"/>
      <c r="CV38" s="365"/>
      <c r="CW38" s="365"/>
      <c r="CX38" s="365"/>
      <c r="CY38" s="365"/>
      <c r="CZ38" s="365"/>
      <c r="DA38" s="365"/>
      <c r="DB38" s="365"/>
      <c r="DC38" s="365"/>
      <c r="DD38" s="365"/>
      <c r="DE38" s="365"/>
      <c r="DF38" s="365"/>
      <c r="DG38" s="365"/>
      <c r="DH38" s="365"/>
      <c r="DI38" s="365"/>
      <c r="DJ38" s="365"/>
      <c r="DK38" s="365"/>
      <c r="DL38" s="365"/>
      <c r="DM38" s="365"/>
      <c r="DN38" s="365"/>
      <c r="DO38" s="365"/>
      <c r="DP38" s="365"/>
      <c r="DQ38" s="365"/>
      <c r="DR38" s="365"/>
      <c r="DS38" s="365"/>
      <c r="DT38" s="365"/>
      <c r="DU38" s="365"/>
      <c r="DV38" s="365"/>
      <c r="DW38" s="365"/>
      <c r="DX38" s="365"/>
      <c r="DY38" s="365"/>
      <c r="DZ38" s="365"/>
      <c r="EA38" s="365"/>
      <c r="EB38" s="365"/>
      <c r="EC38" s="365"/>
      <c r="ED38" s="365"/>
      <c r="EE38" s="365"/>
      <c r="EF38" s="365"/>
      <c r="EG38" s="365"/>
      <c r="EH38" s="365"/>
      <c r="EI38" s="365"/>
      <c r="EJ38" s="365"/>
      <c r="EK38" s="365"/>
      <c r="EL38" s="365"/>
      <c r="EM38" s="365"/>
      <c r="EN38" s="365"/>
      <c r="EO38" s="365"/>
      <c r="EP38" s="365"/>
      <c r="EQ38" s="365"/>
      <c r="ER38" s="365"/>
      <c r="ES38" s="365"/>
      <c r="ET38" s="365"/>
      <c r="EU38" s="365"/>
      <c r="EV38" s="365"/>
      <c r="EW38" s="365"/>
      <c r="EX38" s="365"/>
      <c r="EY38" s="365"/>
      <c r="EZ38" s="365"/>
      <c r="FA38" s="365"/>
      <c r="FB38" s="365"/>
      <c r="FC38" s="365"/>
      <c r="FD38" s="365"/>
      <c r="FE38" s="365"/>
      <c r="FF38" s="365"/>
      <c r="FG38" s="365"/>
      <c r="FH38" s="365"/>
      <c r="FI38" s="365"/>
      <c r="FJ38" s="365"/>
      <c r="FK38" s="365"/>
      <c r="FL38" s="365"/>
      <c r="FM38" s="365"/>
      <c r="FN38" s="365"/>
      <c r="FO38" s="365"/>
      <c r="FP38" s="365"/>
      <c r="FQ38" s="365"/>
      <c r="FR38" s="365"/>
      <c r="FS38" s="365"/>
      <c r="FT38" s="365"/>
      <c r="FU38" s="365"/>
      <c r="FV38" s="365"/>
      <c r="FW38" s="365"/>
      <c r="FX38" s="365"/>
      <c r="FY38" s="365"/>
      <c r="FZ38" s="365"/>
      <c r="GA38" s="365"/>
      <c r="GB38" s="365"/>
      <c r="GC38" s="365"/>
      <c r="GD38" s="365"/>
      <c r="GE38" s="365"/>
      <c r="GF38" s="365"/>
      <c r="GG38" s="365"/>
      <c r="GH38" s="365"/>
      <c r="GI38" s="365"/>
      <c r="GJ38" s="365"/>
      <c r="GK38" s="365"/>
      <c r="GL38" s="365"/>
      <c r="GM38" s="365"/>
      <c r="GN38" s="365"/>
      <c r="GO38" s="365"/>
      <c r="GP38" s="365"/>
      <c r="GQ38" s="365"/>
      <c r="GR38" s="365"/>
      <c r="GS38" s="365"/>
      <c r="GT38" s="365"/>
      <c r="GU38" s="365"/>
      <c r="GV38" s="365"/>
      <c r="GW38" s="365"/>
      <c r="GX38" s="365"/>
      <c r="GY38" s="365"/>
      <c r="GZ38" s="365"/>
      <c r="HA38" s="365"/>
      <c r="HB38" s="365"/>
      <c r="HC38" s="365"/>
      <c r="HD38" s="365"/>
      <c r="HE38" s="365"/>
      <c r="HF38" s="365"/>
      <c r="HG38" s="365"/>
      <c r="HH38" s="365"/>
      <c r="HI38" s="365"/>
      <c r="HJ38" s="365"/>
      <c r="HK38" s="365"/>
      <c r="HL38" s="365"/>
      <c r="HM38" s="365"/>
      <c r="HN38" s="365"/>
      <c r="HO38" s="365"/>
      <c r="HP38" s="365"/>
      <c r="HQ38" s="365"/>
      <c r="HR38" s="365"/>
      <c r="HS38" s="365"/>
      <c r="HT38" s="365"/>
      <c r="HU38" s="365"/>
      <c r="HV38" s="365"/>
      <c r="HW38" s="365"/>
      <c r="HX38" s="365"/>
      <c r="HY38" s="365"/>
    </row>
    <row r="39" spans="1:233" ht="12.75">
      <c r="A39" s="394"/>
      <c r="B39" s="78" t="s">
        <v>115</v>
      </c>
      <c r="C39" s="372">
        <f>'Existing Management Practices'!C39</f>
        <v>0</v>
      </c>
      <c r="D39" s="431"/>
      <c r="E39" s="377"/>
      <c r="F39" s="377"/>
      <c r="G39" s="377"/>
      <c r="H39" s="365"/>
      <c r="I39" s="365"/>
      <c r="J39" s="365"/>
      <c r="K39" s="365"/>
      <c r="L39" s="365"/>
      <c r="M39" s="365"/>
      <c r="N39" s="365"/>
      <c r="O39" s="365"/>
      <c r="P39" s="365"/>
      <c r="Q39" s="365"/>
      <c r="R39" s="365"/>
      <c r="S39" s="365"/>
      <c r="T39" s="365"/>
      <c r="U39" s="365"/>
      <c r="V39" s="365"/>
      <c r="W39" s="365"/>
      <c r="X39" s="365"/>
      <c r="Y39" s="365"/>
      <c r="Z39" s="365"/>
      <c r="AA39" s="365"/>
      <c r="AB39" s="365"/>
      <c r="AC39" s="365"/>
      <c r="AD39" s="365"/>
      <c r="AE39" s="365"/>
      <c r="AF39" s="365"/>
      <c r="AG39" s="365"/>
      <c r="AH39" s="365"/>
      <c r="AI39" s="365"/>
      <c r="AJ39" s="365"/>
      <c r="AK39" s="365"/>
      <c r="AL39" s="365"/>
      <c r="AM39" s="365"/>
      <c r="AN39" s="365"/>
      <c r="AO39" s="365"/>
      <c r="AP39" s="365"/>
      <c r="AQ39" s="365"/>
      <c r="AR39" s="365"/>
      <c r="AS39" s="365"/>
      <c r="AT39" s="365"/>
      <c r="AU39" s="365"/>
      <c r="AV39" s="365"/>
      <c r="AW39" s="365"/>
      <c r="AX39" s="365"/>
      <c r="AY39" s="365"/>
      <c r="AZ39" s="365"/>
      <c r="BA39" s="365"/>
      <c r="BB39" s="365"/>
      <c r="BC39" s="365"/>
      <c r="BD39" s="365"/>
      <c r="BE39" s="365"/>
      <c r="BF39" s="365"/>
      <c r="BG39" s="365"/>
      <c r="BH39" s="365"/>
      <c r="BI39" s="365"/>
      <c r="BJ39" s="365"/>
      <c r="BK39" s="365"/>
      <c r="BL39" s="365"/>
      <c r="BM39" s="365"/>
      <c r="BN39" s="365"/>
      <c r="BO39" s="365"/>
      <c r="BP39" s="365"/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5"/>
      <c r="CC39" s="365"/>
      <c r="CD39" s="365"/>
      <c r="CE39" s="365"/>
      <c r="CF39" s="365"/>
      <c r="CG39" s="365"/>
      <c r="CH39" s="365"/>
      <c r="CI39" s="365"/>
      <c r="CJ39" s="365"/>
      <c r="CK39" s="365"/>
      <c r="CL39" s="365"/>
      <c r="CM39" s="365"/>
      <c r="CN39" s="365"/>
      <c r="CO39" s="365"/>
      <c r="CP39" s="365"/>
      <c r="CQ39" s="365"/>
      <c r="CR39" s="365"/>
      <c r="CS39" s="365"/>
      <c r="CT39" s="365"/>
      <c r="CU39" s="365"/>
      <c r="CV39" s="365"/>
      <c r="CW39" s="365"/>
      <c r="CX39" s="365"/>
      <c r="CY39" s="365"/>
      <c r="CZ39" s="365"/>
      <c r="DA39" s="365"/>
      <c r="DB39" s="365"/>
      <c r="DC39" s="365"/>
      <c r="DD39" s="365"/>
      <c r="DE39" s="365"/>
      <c r="DF39" s="365"/>
      <c r="DG39" s="365"/>
      <c r="DH39" s="365"/>
      <c r="DI39" s="365"/>
      <c r="DJ39" s="365"/>
      <c r="DK39" s="365"/>
      <c r="DL39" s="365"/>
      <c r="DM39" s="365"/>
      <c r="DN39" s="365"/>
      <c r="DO39" s="365"/>
      <c r="DP39" s="365"/>
      <c r="DQ39" s="365"/>
      <c r="DR39" s="365"/>
      <c r="DS39" s="365"/>
      <c r="DT39" s="365"/>
      <c r="DU39" s="365"/>
      <c r="DV39" s="365"/>
      <c r="DW39" s="365"/>
      <c r="DX39" s="365"/>
      <c r="DY39" s="365"/>
      <c r="DZ39" s="365"/>
      <c r="EA39" s="365"/>
      <c r="EB39" s="365"/>
      <c r="EC39" s="365"/>
      <c r="ED39" s="365"/>
      <c r="EE39" s="365"/>
      <c r="EF39" s="365"/>
      <c r="EG39" s="365"/>
      <c r="EH39" s="365"/>
      <c r="EI39" s="365"/>
      <c r="EJ39" s="365"/>
      <c r="EK39" s="365"/>
      <c r="EL39" s="365"/>
      <c r="EM39" s="365"/>
      <c r="EN39" s="365"/>
      <c r="EO39" s="365"/>
      <c r="EP39" s="365"/>
      <c r="EQ39" s="365"/>
      <c r="ER39" s="365"/>
      <c r="ES39" s="365"/>
      <c r="ET39" s="365"/>
      <c r="EU39" s="365"/>
      <c r="EV39" s="365"/>
      <c r="EW39" s="365"/>
      <c r="EX39" s="365"/>
      <c r="EY39" s="365"/>
      <c r="EZ39" s="365"/>
      <c r="FA39" s="365"/>
      <c r="FB39" s="365"/>
      <c r="FC39" s="365"/>
      <c r="FD39" s="365"/>
      <c r="FE39" s="365"/>
      <c r="FF39" s="365"/>
      <c r="FG39" s="365"/>
      <c r="FH39" s="365"/>
      <c r="FI39" s="365"/>
      <c r="FJ39" s="365"/>
      <c r="FK39" s="365"/>
      <c r="FL39" s="365"/>
      <c r="FM39" s="365"/>
      <c r="FN39" s="365"/>
      <c r="FO39" s="365"/>
      <c r="FP39" s="365"/>
      <c r="FQ39" s="365"/>
      <c r="FR39" s="365"/>
      <c r="FS39" s="365"/>
      <c r="FT39" s="365"/>
      <c r="FU39" s="365"/>
      <c r="FV39" s="365"/>
      <c r="FW39" s="365"/>
      <c r="FX39" s="365"/>
      <c r="FY39" s="365"/>
      <c r="FZ39" s="365"/>
      <c r="GA39" s="365"/>
      <c r="GB39" s="365"/>
      <c r="GC39" s="365"/>
      <c r="GD39" s="365"/>
      <c r="GE39" s="365"/>
      <c r="GF39" s="365"/>
      <c r="GG39" s="365"/>
      <c r="GH39" s="365"/>
      <c r="GI39" s="365"/>
      <c r="GJ39" s="365"/>
      <c r="GK39" s="365"/>
      <c r="GL39" s="365"/>
      <c r="GM39" s="365"/>
      <c r="GN39" s="365"/>
      <c r="GO39" s="365"/>
      <c r="GP39" s="365"/>
      <c r="GQ39" s="365"/>
      <c r="GR39" s="365"/>
      <c r="GS39" s="365"/>
      <c r="GT39" s="365"/>
      <c r="GU39" s="365"/>
      <c r="GV39" s="365"/>
      <c r="GW39" s="365"/>
      <c r="GX39" s="365"/>
      <c r="GY39" s="365"/>
      <c r="GZ39" s="365"/>
      <c r="HA39" s="365"/>
      <c r="HB39" s="365"/>
      <c r="HC39" s="365"/>
      <c r="HD39" s="365"/>
      <c r="HE39" s="365"/>
      <c r="HF39" s="365"/>
      <c r="HG39" s="365"/>
      <c r="HH39" s="365"/>
      <c r="HI39" s="365"/>
      <c r="HJ39" s="365"/>
      <c r="HK39" s="365"/>
      <c r="HL39" s="365"/>
      <c r="HM39" s="365"/>
      <c r="HN39" s="365"/>
      <c r="HO39" s="365"/>
      <c r="HP39" s="365"/>
      <c r="HQ39" s="365"/>
      <c r="HR39" s="365"/>
      <c r="HS39" s="365"/>
      <c r="HT39" s="365"/>
      <c r="HU39" s="365"/>
      <c r="HV39" s="365"/>
      <c r="HW39" s="365"/>
      <c r="HX39" s="365"/>
      <c r="HY39" s="365"/>
    </row>
    <row r="40" spans="1:233" ht="12.75">
      <c r="A40" s="365"/>
      <c r="B40" s="78" t="s">
        <v>259</v>
      </c>
      <c r="C40" s="372">
        <f>'Existing Management Practices'!C40</f>
        <v>0</v>
      </c>
      <c r="D40" s="470"/>
      <c r="E40" s="378"/>
      <c r="F40" s="377"/>
      <c r="G40" s="377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65"/>
      <c r="W40" s="365"/>
      <c r="X40" s="365"/>
      <c r="Y40" s="365"/>
      <c r="Z40" s="365"/>
      <c r="AA40" s="365"/>
      <c r="AB40" s="365"/>
      <c r="AC40" s="365"/>
      <c r="AD40" s="365"/>
      <c r="AE40" s="365"/>
      <c r="AF40" s="365"/>
      <c r="AG40" s="365"/>
      <c r="AH40" s="365"/>
      <c r="AI40" s="365"/>
      <c r="AJ40" s="365"/>
      <c r="AK40" s="365"/>
      <c r="AL40" s="365"/>
      <c r="AM40" s="365"/>
      <c r="AN40" s="365"/>
      <c r="AO40" s="365"/>
      <c r="AP40" s="365"/>
      <c r="AQ40" s="365"/>
      <c r="AR40" s="365"/>
      <c r="AS40" s="365"/>
      <c r="AT40" s="365"/>
      <c r="AU40" s="365"/>
      <c r="AV40" s="365"/>
      <c r="AW40" s="365"/>
      <c r="AX40" s="365"/>
      <c r="AY40" s="365"/>
      <c r="AZ40" s="365"/>
      <c r="BA40" s="365"/>
      <c r="BB40" s="365"/>
      <c r="BC40" s="365"/>
      <c r="BD40" s="365"/>
      <c r="BE40" s="365"/>
      <c r="BF40" s="365"/>
      <c r="BG40" s="365"/>
      <c r="BH40" s="365"/>
      <c r="BI40" s="365"/>
      <c r="BJ40" s="365"/>
      <c r="BK40" s="365"/>
      <c r="BL40" s="365"/>
      <c r="BM40" s="365"/>
      <c r="BN40" s="365"/>
      <c r="BO40" s="365"/>
      <c r="BP40" s="365"/>
      <c r="BQ40" s="365"/>
      <c r="BR40" s="365"/>
      <c r="BS40" s="365"/>
      <c r="BT40" s="365"/>
      <c r="BU40" s="365"/>
      <c r="BV40" s="365"/>
      <c r="BW40" s="365"/>
      <c r="BX40" s="365"/>
      <c r="BY40" s="365"/>
      <c r="BZ40" s="365"/>
      <c r="CA40" s="365"/>
      <c r="CB40" s="365"/>
      <c r="CC40" s="365"/>
      <c r="CD40" s="365"/>
      <c r="CE40" s="365"/>
      <c r="CF40" s="365"/>
      <c r="CG40" s="365"/>
      <c r="CH40" s="365"/>
      <c r="CI40" s="365"/>
      <c r="CJ40" s="365"/>
      <c r="CK40" s="365"/>
      <c r="CL40" s="365"/>
      <c r="CM40" s="365"/>
      <c r="CN40" s="365"/>
      <c r="CO40" s="365"/>
      <c r="CP40" s="365"/>
      <c r="CQ40" s="365"/>
      <c r="CR40" s="365"/>
      <c r="CS40" s="365"/>
      <c r="CT40" s="365"/>
      <c r="CU40" s="365"/>
      <c r="CV40" s="365"/>
      <c r="CW40" s="365"/>
      <c r="CX40" s="365"/>
      <c r="CY40" s="365"/>
      <c r="CZ40" s="365"/>
      <c r="DA40" s="365"/>
      <c r="DB40" s="365"/>
      <c r="DC40" s="365"/>
      <c r="DD40" s="365"/>
      <c r="DE40" s="365"/>
      <c r="DF40" s="365"/>
      <c r="DG40" s="365"/>
      <c r="DH40" s="365"/>
      <c r="DI40" s="365"/>
      <c r="DJ40" s="365"/>
      <c r="DK40" s="365"/>
      <c r="DL40" s="365"/>
      <c r="DM40" s="365"/>
      <c r="DN40" s="365"/>
      <c r="DO40" s="365"/>
      <c r="DP40" s="365"/>
      <c r="DQ40" s="365"/>
      <c r="DR40" s="365"/>
      <c r="DS40" s="365"/>
      <c r="DT40" s="365"/>
      <c r="DU40" s="365"/>
      <c r="DV40" s="365"/>
      <c r="DW40" s="365"/>
      <c r="DX40" s="365"/>
      <c r="DY40" s="365"/>
      <c r="DZ40" s="365"/>
      <c r="EA40" s="365"/>
      <c r="EB40" s="365"/>
      <c r="EC40" s="365"/>
      <c r="ED40" s="365"/>
      <c r="EE40" s="365"/>
      <c r="EF40" s="365"/>
      <c r="EG40" s="365"/>
      <c r="EH40" s="365"/>
      <c r="EI40" s="365"/>
      <c r="EJ40" s="365"/>
      <c r="EK40" s="365"/>
      <c r="EL40" s="365"/>
      <c r="EM40" s="365"/>
      <c r="EN40" s="365"/>
      <c r="EO40" s="365"/>
      <c r="EP40" s="365"/>
      <c r="EQ40" s="365"/>
      <c r="ER40" s="365"/>
      <c r="ES40" s="365"/>
      <c r="ET40" s="365"/>
      <c r="EU40" s="365"/>
      <c r="EV40" s="365"/>
      <c r="EW40" s="365"/>
      <c r="EX40" s="365"/>
      <c r="EY40" s="365"/>
      <c r="EZ40" s="365"/>
      <c r="FA40" s="365"/>
      <c r="FB40" s="365"/>
      <c r="FC40" s="365"/>
      <c r="FD40" s="365"/>
      <c r="FE40" s="365"/>
      <c r="FF40" s="365"/>
      <c r="FG40" s="365"/>
      <c r="FH40" s="365"/>
      <c r="FI40" s="365"/>
      <c r="FJ40" s="365"/>
      <c r="FK40" s="365"/>
      <c r="FL40" s="365"/>
      <c r="FM40" s="365"/>
      <c r="FN40" s="365"/>
      <c r="FO40" s="365"/>
      <c r="FP40" s="365"/>
      <c r="FQ40" s="365"/>
      <c r="FR40" s="365"/>
      <c r="FS40" s="365"/>
      <c r="FT40" s="365"/>
      <c r="FU40" s="365"/>
      <c r="FV40" s="365"/>
      <c r="FW40" s="365"/>
      <c r="FX40" s="365"/>
      <c r="FY40" s="365"/>
      <c r="FZ40" s="365"/>
      <c r="GA40" s="365"/>
      <c r="GB40" s="365"/>
      <c r="GC40" s="365"/>
      <c r="GD40" s="365"/>
      <c r="GE40" s="365"/>
      <c r="GF40" s="365"/>
      <c r="GG40" s="365"/>
      <c r="GH40" s="365"/>
      <c r="GI40" s="365"/>
      <c r="GJ40" s="365"/>
      <c r="GK40" s="365"/>
      <c r="GL40" s="365"/>
      <c r="GM40" s="365"/>
      <c r="GN40" s="365"/>
      <c r="GO40" s="365"/>
      <c r="GP40" s="365"/>
      <c r="GQ40" s="365"/>
      <c r="GR40" s="365"/>
      <c r="GS40" s="365"/>
      <c r="GT40" s="365"/>
      <c r="GU40" s="365"/>
      <c r="GV40" s="365"/>
      <c r="GW40" s="365"/>
      <c r="GX40" s="365"/>
      <c r="GY40" s="365"/>
      <c r="GZ40" s="365"/>
      <c r="HA40" s="365"/>
      <c r="HB40" s="365"/>
      <c r="HC40" s="365"/>
      <c r="HD40" s="365"/>
      <c r="HE40" s="365"/>
      <c r="HF40" s="365"/>
      <c r="HG40" s="365"/>
      <c r="HH40" s="365"/>
      <c r="HI40" s="365"/>
      <c r="HJ40" s="365"/>
      <c r="HK40" s="365"/>
      <c r="HL40" s="365"/>
      <c r="HM40" s="365"/>
      <c r="HN40" s="365"/>
      <c r="HO40" s="365"/>
      <c r="HP40" s="365"/>
      <c r="HQ40" s="365"/>
      <c r="HR40" s="365"/>
      <c r="HS40" s="365"/>
      <c r="HT40" s="365"/>
      <c r="HU40" s="365"/>
      <c r="HV40" s="365"/>
      <c r="HW40" s="365"/>
      <c r="HX40" s="365"/>
      <c r="HY40" s="365"/>
    </row>
    <row r="41" spans="2:7" s="365" customFormat="1" ht="13.5" thickBot="1">
      <c r="B41" s="80" t="s">
        <v>260</v>
      </c>
      <c r="C41" s="373">
        <f>'Existing Management Practices'!C41</f>
        <v>0</v>
      </c>
      <c r="D41" s="431"/>
      <c r="E41" s="342"/>
      <c r="F41" s="377"/>
      <c r="G41" s="377"/>
    </row>
    <row r="42" s="365" customFormat="1" ht="14.25" thickBot="1" thickTop="1">
      <c r="K42" s="377"/>
    </row>
    <row r="43" spans="1:233" ht="21.75" thickBot="1" thickTop="1">
      <c r="A43" s="365"/>
      <c r="B43" s="435" t="s">
        <v>84</v>
      </c>
      <c r="C43" s="455"/>
      <c r="D43" s="455"/>
      <c r="E43" s="455"/>
      <c r="F43" s="455"/>
      <c r="G43" s="443"/>
      <c r="H43" s="443"/>
      <c r="I43" s="443"/>
      <c r="J43" s="444"/>
      <c r="K43" s="470"/>
      <c r="L43" s="378"/>
      <c r="M43" s="365"/>
      <c r="N43" s="365"/>
      <c r="O43" s="365"/>
      <c r="P43" s="365"/>
      <c r="Q43" s="365"/>
      <c r="R43" s="365"/>
      <c r="S43" s="365"/>
      <c r="T43" s="365"/>
      <c r="U43" s="365"/>
      <c r="V43" s="365"/>
      <c r="W43" s="365"/>
      <c r="X43" s="365"/>
      <c r="Y43" s="365"/>
      <c r="Z43" s="365"/>
      <c r="AA43" s="365"/>
      <c r="AB43" s="365"/>
      <c r="AC43" s="365"/>
      <c r="AD43" s="365"/>
      <c r="AE43" s="365"/>
      <c r="AF43" s="365"/>
      <c r="AG43" s="365"/>
      <c r="AH43" s="365"/>
      <c r="AI43" s="365"/>
      <c r="AJ43" s="365"/>
      <c r="AK43" s="365"/>
      <c r="AL43" s="365"/>
      <c r="AM43" s="365"/>
      <c r="AN43" s="365"/>
      <c r="AO43" s="365"/>
      <c r="AP43" s="365"/>
      <c r="AQ43" s="365"/>
      <c r="AR43" s="365"/>
      <c r="AS43" s="365"/>
      <c r="AT43" s="365"/>
      <c r="AU43" s="365"/>
      <c r="AV43" s="365"/>
      <c r="AW43" s="365"/>
      <c r="AX43" s="365"/>
      <c r="AY43" s="365"/>
      <c r="AZ43" s="365"/>
      <c r="BA43" s="365"/>
      <c r="BB43" s="365"/>
      <c r="BC43" s="365"/>
      <c r="BD43" s="365"/>
      <c r="BE43" s="365"/>
      <c r="BF43" s="365"/>
      <c r="BG43" s="365"/>
      <c r="BH43" s="365"/>
      <c r="BI43" s="365"/>
      <c r="BJ43" s="365"/>
      <c r="BK43" s="365"/>
      <c r="BL43" s="365"/>
      <c r="BM43" s="365"/>
      <c r="BN43" s="365"/>
      <c r="BO43" s="365"/>
      <c r="BP43" s="365"/>
      <c r="BQ43" s="365"/>
      <c r="BR43" s="365"/>
      <c r="BS43" s="365"/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65"/>
      <c r="DU43" s="365"/>
      <c r="DV43" s="365"/>
      <c r="DW43" s="365"/>
      <c r="DX43" s="365"/>
      <c r="DY43" s="365"/>
      <c r="DZ43" s="365"/>
      <c r="EA43" s="365"/>
      <c r="EB43" s="365"/>
      <c r="EC43" s="365"/>
      <c r="ED43" s="365"/>
      <c r="EE43" s="365"/>
      <c r="EF43" s="365"/>
      <c r="EG43" s="365"/>
      <c r="EH43" s="365"/>
      <c r="EI43" s="365"/>
      <c r="EJ43" s="365"/>
      <c r="EK43" s="365"/>
      <c r="EL43" s="365"/>
      <c r="EM43" s="365"/>
      <c r="EN43" s="365"/>
      <c r="EO43" s="365"/>
      <c r="EP43" s="365"/>
      <c r="EQ43" s="365"/>
      <c r="ER43" s="365"/>
      <c r="ES43" s="365"/>
      <c r="ET43" s="365"/>
      <c r="EU43" s="365"/>
      <c r="EV43" s="365"/>
      <c r="EW43" s="365"/>
      <c r="EX43" s="365"/>
      <c r="EY43" s="365"/>
      <c r="EZ43" s="365"/>
      <c r="FA43" s="365"/>
      <c r="FB43" s="365"/>
      <c r="FC43" s="365"/>
      <c r="FD43" s="365"/>
      <c r="FE43" s="365"/>
      <c r="FF43" s="365"/>
      <c r="FG43" s="365"/>
      <c r="FH43" s="365"/>
      <c r="FI43" s="365"/>
      <c r="FJ43" s="365"/>
      <c r="FK43" s="365"/>
      <c r="FL43" s="365"/>
      <c r="FM43" s="365"/>
      <c r="FN43" s="365"/>
      <c r="FO43" s="365"/>
      <c r="FP43" s="365"/>
      <c r="FQ43" s="365"/>
      <c r="FR43" s="365"/>
      <c r="FS43" s="365"/>
      <c r="FT43" s="365"/>
      <c r="FU43" s="365"/>
      <c r="FV43" s="365"/>
      <c r="FW43" s="365"/>
      <c r="FX43" s="365"/>
      <c r="FY43" s="365"/>
      <c r="FZ43" s="365"/>
      <c r="GA43" s="365"/>
      <c r="GB43" s="365"/>
      <c r="GC43" s="365"/>
      <c r="GD43" s="365"/>
      <c r="GE43" s="365"/>
      <c r="GF43" s="365"/>
      <c r="GG43" s="365"/>
      <c r="GH43" s="365"/>
      <c r="GI43" s="365"/>
      <c r="GJ43" s="365"/>
      <c r="GK43" s="365"/>
      <c r="GL43" s="365"/>
      <c r="GM43" s="365"/>
      <c r="GN43" s="365"/>
      <c r="GO43" s="365"/>
      <c r="GP43" s="365"/>
      <c r="GQ43" s="365"/>
      <c r="GR43" s="365"/>
      <c r="GS43" s="365"/>
      <c r="GT43" s="365"/>
      <c r="GU43" s="365"/>
      <c r="GV43" s="365"/>
      <c r="GW43" s="365"/>
      <c r="GX43" s="365"/>
      <c r="GY43" s="365"/>
      <c r="GZ43" s="365"/>
      <c r="HA43" s="365"/>
      <c r="HB43" s="365"/>
      <c r="HC43" s="365"/>
      <c r="HD43" s="365"/>
      <c r="HE43" s="365"/>
      <c r="HF43" s="365"/>
      <c r="HG43" s="365"/>
      <c r="HH43" s="365"/>
      <c r="HI43" s="365"/>
      <c r="HJ43" s="365"/>
      <c r="HK43" s="365"/>
      <c r="HL43" s="365"/>
      <c r="HM43" s="365"/>
      <c r="HN43" s="365"/>
      <c r="HO43" s="365"/>
      <c r="HP43" s="365"/>
      <c r="HQ43" s="365"/>
      <c r="HR43" s="365"/>
      <c r="HS43" s="365"/>
      <c r="HT43" s="365"/>
      <c r="HU43" s="365"/>
      <c r="HV43" s="365"/>
      <c r="HW43" s="365"/>
      <c r="HX43" s="365"/>
      <c r="HY43" s="365"/>
    </row>
    <row r="44" spans="1:233" ht="12.75">
      <c r="A44" s="365"/>
      <c r="B44" s="27"/>
      <c r="C44" s="496" t="s">
        <v>293</v>
      </c>
      <c r="D44" s="11"/>
      <c r="E44" s="11" t="s">
        <v>272</v>
      </c>
      <c r="F44" s="29" t="s">
        <v>118</v>
      </c>
      <c r="G44" s="11"/>
      <c r="H44" s="29" t="s">
        <v>120</v>
      </c>
      <c r="I44" s="11"/>
      <c r="J44" s="12"/>
      <c r="K44" s="365"/>
      <c r="L44" s="365"/>
      <c r="M44" s="365"/>
      <c r="N44" s="365"/>
      <c r="O44" s="365"/>
      <c r="P44" s="365"/>
      <c r="Q44" s="365"/>
      <c r="R44" s="365"/>
      <c r="S44" s="365"/>
      <c r="T44" s="365"/>
      <c r="U44" s="365"/>
      <c r="V44" s="365"/>
      <c r="W44" s="365"/>
      <c r="X44" s="365"/>
      <c r="Y44" s="365"/>
      <c r="Z44" s="365"/>
      <c r="AA44" s="365"/>
      <c r="AB44" s="365"/>
      <c r="AC44" s="365"/>
      <c r="AD44" s="365"/>
      <c r="AE44" s="365"/>
      <c r="AF44" s="365"/>
      <c r="AG44" s="365"/>
      <c r="AH44" s="365"/>
      <c r="AI44" s="365"/>
      <c r="AJ44" s="365"/>
      <c r="AK44" s="365"/>
      <c r="AL44" s="365"/>
      <c r="AM44" s="365"/>
      <c r="AN44" s="365"/>
      <c r="AO44" s="365"/>
      <c r="AP44" s="365"/>
      <c r="AQ44" s="365"/>
      <c r="AR44" s="365"/>
      <c r="AS44" s="365"/>
      <c r="AT44" s="365"/>
      <c r="AU44" s="365"/>
      <c r="AV44" s="365"/>
      <c r="AW44" s="365"/>
      <c r="AX44" s="365"/>
      <c r="AY44" s="365"/>
      <c r="AZ44" s="365"/>
      <c r="BA44" s="365"/>
      <c r="BB44" s="365"/>
      <c r="BC44" s="365"/>
      <c r="BD44" s="365"/>
      <c r="BE44" s="365"/>
      <c r="BF44" s="365"/>
      <c r="BG44" s="365"/>
      <c r="BH44" s="365"/>
      <c r="BI44" s="365"/>
      <c r="BJ44" s="365"/>
      <c r="BK44" s="365"/>
      <c r="BL44" s="365"/>
      <c r="BM44" s="365"/>
      <c r="BN44" s="365"/>
      <c r="BO44" s="365"/>
      <c r="BP44" s="365"/>
      <c r="BQ44" s="365"/>
      <c r="BR44" s="365"/>
      <c r="BS44" s="365"/>
      <c r="BT44" s="365"/>
      <c r="BU44" s="365"/>
      <c r="BV44" s="365"/>
      <c r="BW44" s="365"/>
      <c r="BX44" s="365"/>
      <c r="BY44" s="365"/>
      <c r="BZ44" s="365"/>
      <c r="CA44" s="365"/>
      <c r="CB44" s="365"/>
      <c r="CC44" s="365"/>
      <c r="CD44" s="365"/>
      <c r="CE44" s="365"/>
      <c r="CF44" s="365"/>
      <c r="CG44" s="365"/>
      <c r="CH44" s="365"/>
      <c r="CI44" s="365"/>
      <c r="CJ44" s="365"/>
      <c r="CK44" s="365"/>
      <c r="CL44" s="365"/>
      <c r="CM44" s="365"/>
      <c r="CN44" s="365"/>
      <c r="CO44" s="365"/>
      <c r="CP44" s="365"/>
      <c r="CQ44" s="365"/>
      <c r="CR44" s="365"/>
      <c r="CS44" s="365"/>
      <c r="CT44" s="365"/>
      <c r="CU44" s="365"/>
      <c r="CV44" s="365"/>
      <c r="CW44" s="365"/>
      <c r="CX44" s="365"/>
      <c r="CY44" s="365"/>
      <c r="CZ44" s="365"/>
      <c r="DA44" s="365"/>
      <c r="DB44" s="365"/>
      <c r="DC44" s="365"/>
      <c r="DD44" s="365"/>
      <c r="DE44" s="365"/>
      <c r="DF44" s="365"/>
      <c r="DG44" s="365"/>
      <c r="DH44" s="365"/>
      <c r="DI44" s="365"/>
      <c r="DJ44" s="365"/>
      <c r="DK44" s="365"/>
      <c r="DL44" s="365"/>
      <c r="DM44" s="365"/>
      <c r="DN44" s="365"/>
      <c r="DO44" s="365"/>
      <c r="DP44" s="365"/>
      <c r="DQ44" s="365"/>
      <c r="DR44" s="365"/>
      <c r="DS44" s="365"/>
      <c r="DT44" s="365"/>
      <c r="DU44" s="365"/>
      <c r="DV44" s="365"/>
      <c r="DW44" s="365"/>
      <c r="DX44" s="365"/>
      <c r="DY44" s="365"/>
      <c r="DZ44" s="365"/>
      <c r="EA44" s="365"/>
      <c r="EB44" s="365"/>
      <c r="EC44" s="365"/>
      <c r="ED44" s="365"/>
      <c r="EE44" s="365"/>
      <c r="EF44" s="365"/>
      <c r="EG44" s="365"/>
      <c r="EH44" s="365"/>
      <c r="EI44" s="365"/>
      <c r="EJ44" s="365"/>
      <c r="EK44" s="365"/>
      <c r="EL44" s="365"/>
      <c r="EM44" s="365"/>
      <c r="EN44" s="365"/>
      <c r="EO44" s="365"/>
      <c r="EP44" s="365"/>
      <c r="EQ44" s="365"/>
      <c r="ER44" s="365"/>
      <c r="ES44" s="365"/>
      <c r="ET44" s="365"/>
      <c r="EU44" s="365"/>
      <c r="EV44" s="365"/>
      <c r="EW44" s="365"/>
      <c r="EX44" s="365"/>
      <c r="EY44" s="365"/>
      <c r="EZ44" s="365"/>
      <c r="FA44" s="365"/>
      <c r="FB44" s="365"/>
      <c r="FC44" s="365"/>
      <c r="FD44" s="365"/>
      <c r="FE44" s="365"/>
      <c r="FF44" s="365"/>
      <c r="FG44" s="365"/>
      <c r="FH44" s="365"/>
      <c r="FI44" s="365"/>
      <c r="FJ44" s="365"/>
      <c r="FK44" s="365"/>
      <c r="FL44" s="365"/>
      <c r="FM44" s="365"/>
      <c r="FN44" s="365"/>
      <c r="FO44" s="365"/>
      <c r="FP44" s="365"/>
      <c r="FQ44" s="365"/>
      <c r="FR44" s="365"/>
      <c r="FS44" s="365"/>
      <c r="FT44" s="365"/>
      <c r="FU44" s="365"/>
      <c r="FV44" s="365"/>
      <c r="FW44" s="365"/>
      <c r="FX44" s="365"/>
      <c r="FY44" s="365"/>
      <c r="FZ44" s="365"/>
      <c r="GA44" s="365"/>
      <c r="GB44" s="365"/>
      <c r="GC44" s="365"/>
      <c r="GD44" s="365"/>
      <c r="GE44" s="365"/>
      <c r="GF44" s="365"/>
      <c r="GG44" s="365"/>
      <c r="GH44" s="365"/>
      <c r="GI44" s="365"/>
      <c r="GJ44" s="365"/>
      <c r="GK44" s="365"/>
      <c r="GL44" s="365"/>
      <c r="GM44" s="365"/>
      <c r="GN44" s="365"/>
      <c r="GO44" s="365"/>
      <c r="GP44" s="365"/>
      <c r="GQ44" s="365"/>
      <c r="GR44" s="365"/>
      <c r="GS44" s="365"/>
      <c r="GT44" s="365"/>
      <c r="GU44" s="365"/>
      <c r="GV44" s="365"/>
      <c r="GW44" s="365"/>
      <c r="GX44" s="365"/>
      <c r="GY44" s="365"/>
      <c r="GZ44" s="365"/>
      <c r="HA44" s="365"/>
      <c r="HB44" s="365"/>
      <c r="HC44" s="365"/>
      <c r="HD44" s="365"/>
      <c r="HE44" s="365"/>
      <c r="HF44" s="365"/>
      <c r="HG44" s="365"/>
      <c r="HH44" s="365"/>
      <c r="HI44" s="365"/>
      <c r="HJ44" s="365"/>
      <c r="HK44" s="365"/>
      <c r="HL44" s="365"/>
      <c r="HM44" s="365"/>
      <c r="HN44" s="365"/>
      <c r="HO44" s="365"/>
      <c r="HP44" s="365"/>
      <c r="HQ44" s="365"/>
      <c r="HR44" s="365"/>
      <c r="HS44" s="365"/>
      <c r="HT44" s="365"/>
      <c r="HU44" s="365"/>
      <c r="HV44" s="365"/>
      <c r="HW44" s="365"/>
      <c r="HX44" s="365"/>
      <c r="HY44" s="365"/>
    </row>
    <row r="45" spans="1:233" ht="12.75">
      <c r="A45" s="365"/>
      <c r="B45" s="76" t="s">
        <v>116</v>
      </c>
      <c r="C45" s="90" t="s">
        <v>12</v>
      </c>
      <c r="D45" s="90" t="s">
        <v>117</v>
      </c>
      <c r="E45" s="90" t="s">
        <v>198</v>
      </c>
      <c r="F45" s="90" t="s">
        <v>119</v>
      </c>
      <c r="G45" s="90" t="s">
        <v>6</v>
      </c>
      <c r="H45" s="90" t="s">
        <v>119</v>
      </c>
      <c r="I45" s="90" t="s">
        <v>6</v>
      </c>
      <c r="J45" s="249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365"/>
      <c r="AJ45" s="365"/>
      <c r="AK45" s="365"/>
      <c r="AL45" s="365"/>
      <c r="AM45" s="365"/>
      <c r="AN45" s="365"/>
      <c r="AO45" s="365"/>
      <c r="AP45" s="365"/>
      <c r="AQ45" s="365"/>
      <c r="AR45" s="365"/>
      <c r="AS45" s="365"/>
      <c r="AT45" s="365"/>
      <c r="AU45" s="365"/>
      <c r="AV45" s="365"/>
      <c r="AW45" s="365"/>
      <c r="AX45" s="365"/>
      <c r="AY45" s="365"/>
      <c r="AZ45" s="365"/>
      <c r="BA45" s="365"/>
      <c r="BB45" s="365"/>
      <c r="BC45" s="365"/>
      <c r="BD45" s="365"/>
      <c r="BE45" s="365"/>
      <c r="BF45" s="365"/>
      <c r="BG45" s="365"/>
      <c r="BH45" s="365"/>
      <c r="BI45" s="365"/>
      <c r="BJ45" s="365"/>
      <c r="BK45" s="365"/>
      <c r="BL45" s="365"/>
      <c r="BM45" s="365"/>
      <c r="BN45" s="365"/>
      <c r="BO45" s="365"/>
      <c r="BP45" s="365"/>
      <c r="BQ45" s="365"/>
      <c r="BR45" s="365"/>
      <c r="BS45" s="365"/>
      <c r="BT45" s="365"/>
      <c r="BU45" s="365"/>
      <c r="BV45" s="365"/>
      <c r="BW45" s="365"/>
      <c r="BX45" s="365"/>
      <c r="BY45" s="365"/>
      <c r="BZ45" s="365"/>
      <c r="CA45" s="365"/>
      <c r="CB45" s="365"/>
      <c r="CC45" s="365"/>
      <c r="CD45" s="365"/>
      <c r="CE45" s="365"/>
      <c r="CF45" s="365"/>
      <c r="CG45" s="365"/>
      <c r="CH45" s="365"/>
      <c r="CI45" s="365"/>
      <c r="CJ45" s="365"/>
      <c r="CK45" s="365"/>
      <c r="CL45" s="365"/>
      <c r="CM45" s="365"/>
      <c r="CN45" s="365"/>
      <c r="CO45" s="365"/>
      <c r="CP45" s="365"/>
      <c r="CQ45" s="365"/>
      <c r="CR45" s="365"/>
      <c r="CS45" s="365"/>
      <c r="CT45" s="365"/>
      <c r="CU45" s="365"/>
      <c r="CV45" s="365"/>
      <c r="CW45" s="365"/>
      <c r="CX45" s="365"/>
      <c r="CY45" s="365"/>
      <c r="CZ45" s="365"/>
      <c r="DA45" s="365"/>
      <c r="DB45" s="365"/>
      <c r="DC45" s="365"/>
      <c r="DD45" s="365"/>
      <c r="DE45" s="365"/>
      <c r="DF45" s="365"/>
      <c r="DG45" s="365"/>
      <c r="DH45" s="365"/>
      <c r="DI45" s="365"/>
      <c r="DJ45" s="365"/>
      <c r="DK45" s="365"/>
      <c r="DL45" s="365"/>
      <c r="DM45" s="365"/>
      <c r="DN45" s="365"/>
      <c r="DO45" s="365"/>
      <c r="DP45" s="365"/>
      <c r="DQ45" s="365"/>
      <c r="DR45" s="365"/>
      <c r="DS45" s="365"/>
      <c r="DT45" s="365"/>
      <c r="DU45" s="365"/>
      <c r="DV45" s="365"/>
      <c r="DW45" s="365"/>
      <c r="DX45" s="365"/>
      <c r="DY45" s="365"/>
      <c r="DZ45" s="365"/>
      <c r="EA45" s="365"/>
      <c r="EB45" s="365"/>
      <c r="EC45" s="365"/>
      <c r="ED45" s="365"/>
      <c r="EE45" s="365"/>
      <c r="EF45" s="365"/>
      <c r="EG45" s="365"/>
      <c r="EH45" s="365"/>
      <c r="EI45" s="365"/>
      <c r="EJ45" s="365"/>
      <c r="EK45" s="365"/>
      <c r="EL45" s="365"/>
      <c r="EM45" s="365"/>
      <c r="EN45" s="365"/>
      <c r="EO45" s="365"/>
      <c r="EP45" s="365"/>
      <c r="EQ45" s="365"/>
      <c r="ER45" s="365"/>
      <c r="ES45" s="365"/>
      <c r="ET45" s="365"/>
      <c r="EU45" s="365"/>
      <c r="EV45" s="365"/>
      <c r="EW45" s="365"/>
      <c r="EX45" s="365"/>
      <c r="EY45" s="365"/>
      <c r="EZ45" s="365"/>
      <c r="FA45" s="365"/>
      <c r="FB45" s="365"/>
      <c r="FC45" s="365"/>
      <c r="FD45" s="365"/>
      <c r="FE45" s="365"/>
      <c r="FF45" s="365"/>
      <c r="FG45" s="365"/>
      <c r="FH45" s="365"/>
      <c r="FI45" s="365"/>
      <c r="FJ45" s="365"/>
      <c r="FK45" s="365"/>
      <c r="FL45" s="365"/>
      <c r="FM45" s="365"/>
      <c r="FN45" s="365"/>
      <c r="FO45" s="365"/>
      <c r="FP45" s="365"/>
      <c r="FQ45" s="365"/>
      <c r="FR45" s="365"/>
      <c r="FS45" s="365"/>
      <c r="FT45" s="365"/>
      <c r="FU45" s="365"/>
      <c r="FV45" s="365"/>
      <c r="FW45" s="365"/>
      <c r="FX45" s="365"/>
      <c r="FY45" s="365"/>
      <c r="FZ45" s="365"/>
      <c r="GA45" s="365"/>
      <c r="GB45" s="365"/>
      <c r="GC45" s="365"/>
      <c r="GD45" s="365"/>
      <c r="GE45" s="365"/>
      <c r="GF45" s="365"/>
      <c r="GG45" s="365"/>
      <c r="GH45" s="365"/>
      <c r="GI45" s="365"/>
      <c r="GJ45" s="365"/>
      <c r="GK45" s="365"/>
      <c r="GL45" s="365"/>
      <c r="GM45" s="365"/>
      <c r="GN45" s="365"/>
      <c r="GO45" s="365"/>
      <c r="GP45" s="365"/>
      <c r="GQ45" s="365"/>
      <c r="GR45" s="365"/>
      <c r="GS45" s="365"/>
      <c r="GT45" s="365"/>
      <c r="GU45" s="365"/>
      <c r="GV45" s="365"/>
      <c r="GW45" s="365"/>
      <c r="GX45" s="365"/>
      <c r="GY45" s="365"/>
      <c r="GZ45" s="365"/>
      <c r="HA45" s="365"/>
      <c r="HB45" s="365"/>
      <c r="HC45" s="365"/>
      <c r="HD45" s="365"/>
      <c r="HE45" s="365"/>
      <c r="HF45" s="365"/>
      <c r="HG45" s="365"/>
      <c r="HH45" s="365"/>
      <c r="HI45" s="365"/>
      <c r="HJ45" s="365"/>
      <c r="HK45" s="365"/>
      <c r="HL45" s="365"/>
      <c r="HM45" s="365"/>
      <c r="HN45" s="365"/>
      <c r="HO45" s="365"/>
      <c r="HP45" s="365"/>
      <c r="HQ45" s="365"/>
      <c r="HR45" s="365"/>
      <c r="HS45" s="365"/>
      <c r="HT45" s="365"/>
      <c r="HU45" s="365"/>
      <c r="HV45" s="365"/>
      <c r="HW45" s="365"/>
      <c r="HX45" s="365"/>
      <c r="HY45" s="365"/>
    </row>
    <row r="46" spans="1:233" s="900" customFormat="1" ht="12.75">
      <c r="A46" s="892"/>
      <c r="B46" s="91" t="s">
        <v>121</v>
      </c>
      <c r="C46" s="92">
        <f>'Existing Management Practices'!C46</f>
        <v>0</v>
      </c>
      <c r="D46" s="92">
        <f>'Existing Management Practices'!D46</f>
        <v>0</v>
      </c>
      <c r="E46" s="92">
        <f>'Existing Management Practices'!E46</f>
        <v>0</v>
      </c>
      <c r="F46" s="99">
        <f>'Existing Management Practices'!F46</f>
        <v>0.24</v>
      </c>
      <c r="G46" s="99">
        <f>'Existing Management Practices'!G46</f>
        <v>0.3</v>
      </c>
      <c r="H46" s="99">
        <f>'Existing Management Practices'!H46</f>
        <v>0.04</v>
      </c>
      <c r="I46" s="99">
        <f>'Existing Management Practices'!I46</f>
        <v>0.05</v>
      </c>
      <c r="J46" s="901"/>
      <c r="K46" s="899"/>
      <c r="L46" s="899"/>
      <c r="M46" s="899"/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899"/>
      <c r="AJ46" s="899"/>
      <c r="AK46" s="899"/>
      <c r="AL46" s="899"/>
      <c r="AM46" s="899"/>
      <c r="AN46" s="899"/>
      <c r="AO46" s="899"/>
      <c r="AP46" s="899"/>
      <c r="AQ46" s="899"/>
      <c r="AR46" s="899"/>
      <c r="AS46" s="899"/>
      <c r="AT46" s="899"/>
      <c r="AU46" s="899"/>
      <c r="AV46" s="899"/>
      <c r="AW46" s="899"/>
      <c r="AX46" s="899"/>
      <c r="AY46" s="899"/>
      <c r="AZ46" s="899"/>
      <c r="BA46" s="899"/>
      <c r="BB46" s="899"/>
      <c r="BC46" s="899"/>
      <c r="BD46" s="899"/>
      <c r="BE46" s="899"/>
      <c r="BF46" s="899"/>
      <c r="BG46" s="899"/>
      <c r="BH46" s="899"/>
      <c r="BI46" s="899"/>
      <c r="BJ46" s="899"/>
      <c r="BK46" s="899"/>
      <c r="BL46" s="899"/>
      <c r="BM46" s="899"/>
      <c r="BN46" s="899"/>
      <c r="BO46" s="899"/>
      <c r="BP46" s="899"/>
      <c r="BQ46" s="899"/>
      <c r="BR46" s="899"/>
      <c r="BS46" s="899"/>
      <c r="BT46" s="899"/>
      <c r="BU46" s="899"/>
      <c r="BV46" s="899"/>
      <c r="BW46" s="899"/>
      <c r="BX46" s="899"/>
      <c r="BY46" s="899"/>
      <c r="BZ46" s="899"/>
      <c r="CA46" s="899"/>
      <c r="CB46" s="899"/>
      <c r="CC46" s="899"/>
      <c r="CD46" s="899"/>
      <c r="CE46" s="899"/>
      <c r="CF46" s="899"/>
      <c r="CG46" s="899"/>
      <c r="CH46" s="899"/>
      <c r="CI46" s="899"/>
      <c r="CJ46" s="899"/>
      <c r="CK46" s="899"/>
      <c r="CL46" s="899"/>
      <c r="CM46" s="899"/>
      <c r="CN46" s="899"/>
      <c r="CO46" s="899"/>
      <c r="CP46" s="899"/>
      <c r="CQ46" s="899"/>
      <c r="CR46" s="899"/>
      <c r="CS46" s="899"/>
      <c r="CT46" s="899"/>
      <c r="CU46" s="899"/>
      <c r="CV46" s="899"/>
      <c r="CW46" s="899"/>
      <c r="CX46" s="899"/>
      <c r="CY46" s="899"/>
      <c r="CZ46" s="899"/>
      <c r="DA46" s="899"/>
      <c r="DB46" s="899"/>
      <c r="DC46" s="899"/>
      <c r="DD46" s="899"/>
      <c r="DE46" s="899"/>
      <c r="DF46" s="899"/>
      <c r="DG46" s="899"/>
      <c r="DH46" s="899"/>
      <c r="DI46" s="899"/>
      <c r="DJ46" s="899"/>
      <c r="DK46" s="899"/>
      <c r="DL46" s="899"/>
      <c r="DM46" s="899"/>
      <c r="DN46" s="899"/>
      <c r="DO46" s="899"/>
      <c r="DP46" s="899"/>
      <c r="DQ46" s="899"/>
      <c r="DR46" s="899"/>
      <c r="DS46" s="899"/>
      <c r="DT46" s="899"/>
      <c r="DU46" s="899"/>
      <c r="DV46" s="899"/>
      <c r="DW46" s="899"/>
      <c r="DX46" s="899"/>
      <c r="DY46" s="899"/>
      <c r="DZ46" s="899"/>
      <c r="EA46" s="899"/>
      <c r="EB46" s="899"/>
      <c r="EC46" s="899"/>
      <c r="ED46" s="899"/>
      <c r="EE46" s="899"/>
      <c r="EF46" s="899"/>
      <c r="EG46" s="899"/>
      <c r="EH46" s="899"/>
      <c r="EI46" s="899"/>
      <c r="EJ46" s="899"/>
      <c r="EK46" s="899"/>
      <c r="EL46" s="899"/>
      <c r="EM46" s="899"/>
      <c r="EN46" s="899"/>
      <c r="EO46" s="899"/>
      <c r="EP46" s="899"/>
      <c r="EQ46" s="899"/>
      <c r="ER46" s="899"/>
      <c r="ES46" s="899"/>
      <c r="ET46" s="899"/>
      <c r="EU46" s="899"/>
      <c r="EV46" s="899"/>
      <c r="EW46" s="899"/>
      <c r="EX46" s="899"/>
      <c r="EY46" s="899"/>
      <c r="EZ46" s="899"/>
      <c r="FA46" s="899"/>
      <c r="FB46" s="899"/>
      <c r="FC46" s="899"/>
      <c r="FD46" s="899"/>
      <c r="FE46" s="899"/>
      <c r="FF46" s="899"/>
      <c r="FG46" s="899"/>
      <c r="FH46" s="899"/>
      <c r="FI46" s="899"/>
      <c r="FJ46" s="899"/>
      <c r="FK46" s="899"/>
      <c r="FL46" s="899"/>
      <c r="FM46" s="899"/>
      <c r="FN46" s="899"/>
      <c r="FO46" s="899"/>
      <c r="FP46" s="899"/>
      <c r="FQ46" s="899"/>
      <c r="FR46" s="899"/>
      <c r="FS46" s="899"/>
      <c r="FT46" s="899"/>
      <c r="FU46" s="899"/>
      <c r="FV46" s="899"/>
      <c r="FW46" s="899"/>
      <c r="FX46" s="899"/>
      <c r="FY46" s="899"/>
      <c r="FZ46" s="899"/>
      <c r="GA46" s="899"/>
      <c r="GB46" s="899"/>
      <c r="GC46" s="899"/>
      <c r="GD46" s="899"/>
      <c r="GE46" s="899"/>
      <c r="GF46" s="899"/>
      <c r="GG46" s="899"/>
      <c r="GH46" s="899"/>
      <c r="GI46" s="899"/>
      <c r="GJ46" s="899"/>
      <c r="GK46" s="899"/>
      <c r="GL46" s="899"/>
      <c r="GM46" s="899"/>
      <c r="GN46" s="899"/>
      <c r="GO46" s="899"/>
      <c r="GP46" s="899"/>
      <c r="GQ46" s="899"/>
      <c r="GR46" s="899"/>
      <c r="GS46" s="899"/>
      <c r="GT46" s="899"/>
      <c r="GU46" s="899"/>
      <c r="GV46" s="899"/>
      <c r="GW46" s="899"/>
      <c r="GX46" s="899"/>
      <c r="GY46" s="899"/>
      <c r="GZ46" s="899"/>
      <c r="HA46" s="899"/>
      <c r="HB46" s="899"/>
      <c r="HC46" s="899"/>
      <c r="HD46" s="899"/>
      <c r="HE46" s="899"/>
      <c r="HF46" s="899"/>
      <c r="HG46" s="899"/>
      <c r="HH46" s="899"/>
      <c r="HI46" s="899"/>
      <c r="HJ46" s="899"/>
      <c r="HK46" s="899"/>
      <c r="HL46" s="899"/>
      <c r="HM46" s="899"/>
      <c r="HN46" s="899"/>
      <c r="HO46" s="899"/>
      <c r="HP46" s="899"/>
      <c r="HQ46" s="899"/>
      <c r="HR46" s="899"/>
      <c r="HS46" s="899"/>
      <c r="HT46" s="899"/>
      <c r="HU46" s="899"/>
      <c r="HV46" s="899"/>
      <c r="HW46" s="899"/>
      <c r="HX46" s="899"/>
      <c r="HY46" s="899"/>
    </row>
    <row r="47" spans="1:233" s="900" customFormat="1" ht="12.75">
      <c r="A47" s="892"/>
      <c r="B47" s="91" t="s">
        <v>122</v>
      </c>
      <c r="C47" s="92">
        <f>'Existing Management Practices'!C47</f>
        <v>0</v>
      </c>
      <c r="D47" s="92">
        <f>'Existing Management Practices'!D47</f>
        <v>0</v>
      </c>
      <c r="E47" s="92">
        <f>'Existing Management Practices'!E47</f>
        <v>0</v>
      </c>
      <c r="F47" s="99">
        <f>'Existing Management Practices'!F47</f>
        <v>0.51</v>
      </c>
      <c r="G47" s="99">
        <f>'Existing Management Practices'!G47</f>
        <v>0.64</v>
      </c>
      <c r="H47" s="99">
        <f>'Existing Management Practices'!H47</f>
        <v>0.18</v>
      </c>
      <c r="I47" s="99">
        <f>'Existing Management Practices'!I47</f>
        <v>0.22</v>
      </c>
      <c r="J47" s="901"/>
      <c r="K47" s="899"/>
      <c r="L47" s="899"/>
      <c r="M47" s="899"/>
      <c r="N47" s="899"/>
      <c r="O47" s="899"/>
      <c r="P47" s="899"/>
      <c r="Q47" s="899"/>
      <c r="R47" s="899"/>
      <c r="S47" s="899"/>
      <c r="T47" s="899"/>
      <c r="U47" s="899"/>
      <c r="V47" s="899"/>
      <c r="W47" s="899"/>
      <c r="X47" s="899"/>
      <c r="Y47" s="899"/>
      <c r="Z47" s="899"/>
      <c r="AA47" s="899"/>
      <c r="AB47" s="899"/>
      <c r="AC47" s="899"/>
      <c r="AD47" s="899"/>
      <c r="AE47" s="899"/>
      <c r="AF47" s="899"/>
      <c r="AG47" s="899"/>
      <c r="AH47" s="899"/>
      <c r="AI47" s="899"/>
      <c r="AJ47" s="899"/>
      <c r="AK47" s="899"/>
      <c r="AL47" s="899"/>
      <c r="AM47" s="899"/>
      <c r="AN47" s="899"/>
      <c r="AO47" s="899"/>
      <c r="AP47" s="899"/>
      <c r="AQ47" s="899"/>
      <c r="AR47" s="899"/>
      <c r="AS47" s="899"/>
      <c r="AT47" s="899"/>
      <c r="AU47" s="899"/>
      <c r="AV47" s="899"/>
      <c r="AW47" s="899"/>
      <c r="AX47" s="899"/>
      <c r="AY47" s="899"/>
      <c r="AZ47" s="899"/>
      <c r="BA47" s="899"/>
      <c r="BB47" s="899"/>
      <c r="BC47" s="899"/>
      <c r="BD47" s="899"/>
      <c r="BE47" s="899"/>
      <c r="BF47" s="899"/>
      <c r="BG47" s="899"/>
      <c r="BH47" s="899"/>
      <c r="BI47" s="899"/>
      <c r="BJ47" s="899"/>
      <c r="BK47" s="899"/>
      <c r="BL47" s="899"/>
      <c r="BM47" s="899"/>
      <c r="BN47" s="899"/>
      <c r="BO47" s="899"/>
      <c r="BP47" s="899"/>
      <c r="BQ47" s="899"/>
      <c r="BR47" s="899"/>
      <c r="BS47" s="899"/>
      <c r="BT47" s="899"/>
      <c r="BU47" s="899"/>
      <c r="BV47" s="899"/>
      <c r="BW47" s="899"/>
      <c r="BX47" s="899"/>
      <c r="BY47" s="899"/>
      <c r="BZ47" s="899"/>
      <c r="CA47" s="899"/>
      <c r="CB47" s="899"/>
      <c r="CC47" s="899"/>
      <c r="CD47" s="899"/>
      <c r="CE47" s="899"/>
      <c r="CF47" s="899"/>
      <c r="CG47" s="899"/>
      <c r="CH47" s="899"/>
      <c r="CI47" s="899"/>
      <c r="CJ47" s="899"/>
      <c r="CK47" s="899"/>
      <c r="CL47" s="899"/>
      <c r="CM47" s="899"/>
      <c r="CN47" s="899"/>
      <c r="CO47" s="899"/>
      <c r="CP47" s="899"/>
      <c r="CQ47" s="899"/>
      <c r="CR47" s="899"/>
      <c r="CS47" s="899"/>
      <c r="CT47" s="899"/>
      <c r="CU47" s="899"/>
      <c r="CV47" s="899"/>
      <c r="CW47" s="899"/>
      <c r="CX47" s="899"/>
      <c r="CY47" s="899"/>
      <c r="CZ47" s="899"/>
      <c r="DA47" s="899"/>
      <c r="DB47" s="899"/>
      <c r="DC47" s="899"/>
      <c r="DD47" s="899"/>
      <c r="DE47" s="899"/>
      <c r="DF47" s="899"/>
      <c r="DG47" s="899"/>
      <c r="DH47" s="899"/>
      <c r="DI47" s="899"/>
      <c r="DJ47" s="899"/>
      <c r="DK47" s="899"/>
      <c r="DL47" s="899"/>
      <c r="DM47" s="899"/>
      <c r="DN47" s="899"/>
      <c r="DO47" s="899"/>
      <c r="DP47" s="899"/>
      <c r="DQ47" s="899"/>
      <c r="DR47" s="899"/>
      <c r="DS47" s="899"/>
      <c r="DT47" s="899"/>
      <c r="DU47" s="899"/>
      <c r="DV47" s="899"/>
      <c r="DW47" s="899"/>
      <c r="DX47" s="899"/>
      <c r="DY47" s="899"/>
      <c r="DZ47" s="899"/>
      <c r="EA47" s="899"/>
      <c r="EB47" s="899"/>
      <c r="EC47" s="899"/>
      <c r="ED47" s="899"/>
      <c r="EE47" s="899"/>
      <c r="EF47" s="899"/>
      <c r="EG47" s="899"/>
      <c r="EH47" s="899"/>
      <c r="EI47" s="899"/>
      <c r="EJ47" s="899"/>
      <c r="EK47" s="899"/>
      <c r="EL47" s="899"/>
      <c r="EM47" s="899"/>
      <c r="EN47" s="899"/>
      <c r="EO47" s="899"/>
      <c r="EP47" s="899"/>
      <c r="EQ47" s="899"/>
      <c r="ER47" s="899"/>
      <c r="ES47" s="899"/>
      <c r="ET47" s="899"/>
      <c r="EU47" s="899"/>
      <c r="EV47" s="899"/>
      <c r="EW47" s="899"/>
      <c r="EX47" s="899"/>
      <c r="EY47" s="899"/>
      <c r="EZ47" s="899"/>
      <c r="FA47" s="899"/>
      <c r="FB47" s="899"/>
      <c r="FC47" s="899"/>
      <c r="FD47" s="899"/>
      <c r="FE47" s="899"/>
      <c r="FF47" s="899"/>
      <c r="FG47" s="899"/>
      <c r="FH47" s="899"/>
      <c r="FI47" s="899"/>
      <c r="FJ47" s="899"/>
      <c r="FK47" s="899"/>
      <c r="FL47" s="899"/>
      <c r="FM47" s="899"/>
      <c r="FN47" s="899"/>
      <c r="FO47" s="899"/>
      <c r="FP47" s="899"/>
      <c r="FQ47" s="899"/>
      <c r="FR47" s="899"/>
      <c r="FS47" s="899"/>
      <c r="FT47" s="899"/>
      <c r="FU47" s="899"/>
      <c r="FV47" s="899"/>
      <c r="FW47" s="899"/>
      <c r="FX47" s="899"/>
      <c r="FY47" s="899"/>
      <c r="FZ47" s="899"/>
      <c r="GA47" s="899"/>
      <c r="GB47" s="899"/>
      <c r="GC47" s="899"/>
      <c r="GD47" s="899"/>
      <c r="GE47" s="899"/>
      <c r="GF47" s="899"/>
      <c r="GG47" s="899"/>
      <c r="GH47" s="899"/>
      <c r="GI47" s="899"/>
      <c r="GJ47" s="899"/>
      <c r="GK47" s="899"/>
      <c r="GL47" s="899"/>
      <c r="GM47" s="899"/>
      <c r="GN47" s="899"/>
      <c r="GO47" s="899"/>
      <c r="GP47" s="899"/>
      <c r="GQ47" s="899"/>
      <c r="GR47" s="899"/>
      <c r="GS47" s="899"/>
      <c r="GT47" s="899"/>
      <c r="GU47" s="899"/>
      <c r="GV47" s="899"/>
      <c r="GW47" s="899"/>
      <c r="GX47" s="899"/>
      <c r="GY47" s="899"/>
      <c r="GZ47" s="899"/>
      <c r="HA47" s="899"/>
      <c r="HB47" s="899"/>
      <c r="HC47" s="899"/>
      <c r="HD47" s="899"/>
      <c r="HE47" s="899"/>
      <c r="HF47" s="899"/>
      <c r="HG47" s="899"/>
      <c r="HH47" s="899"/>
      <c r="HI47" s="899"/>
      <c r="HJ47" s="899"/>
      <c r="HK47" s="899"/>
      <c r="HL47" s="899"/>
      <c r="HM47" s="899"/>
      <c r="HN47" s="899"/>
      <c r="HO47" s="899"/>
      <c r="HP47" s="899"/>
      <c r="HQ47" s="899"/>
      <c r="HR47" s="899"/>
      <c r="HS47" s="899"/>
      <c r="HT47" s="899"/>
      <c r="HU47" s="899"/>
      <c r="HV47" s="899"/>
      <c r="HW47" s="899"/>
      <c r="HX47" s="899"/>
      <c r="HY47" s="899"/>
    </row>
    <row r="48" spans="1:233" s="900" customFormat="1" ht="12.75">
      <c r="A48" s="892"/>
      <c r="B48" s="91" t="s">
        <v>123</v>
      </c>
      <c r="C48" s="92">
        <f>'Existing Management Practices'!C48</f>
        <v>0</v>
      </c>
      <c r="D48" s="92">
        <f>'Existing Management Practices'!D48</f>
        <v>0</v>
      </c>
      <c r="E48" s="92">
        <f>'Existing Management Practices'!E48</f>
        <v>0</v>
      </c>
      <c r="F48" s="99">
        <f>'Existing Management Practices'!F48</f>
        <v>0.62</v>
      </c>
      <c r="G48" s="99">
        <f>'Existing Management Practices'!G48</f>
        <v>0.78</v>
      </c>
      <c r="H48" s="99">
        <f>'Existing Management Practices'!H48</f>
        <v>0.63</v>
      </c>
      <c r="I48" s="99">
        <f>'Existing Management Practices'!I48</f>
        <v>0.79</v>
      </c>
      <c r="J48" s="901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899"/>
      <c r="AA48" s="899"/>
      <c r="AB48" s="899"/>
      <c r="AC48" s="899"/>
      <c r="AD48" s="899"/>
      <c r="AE48" s="899"/>
      <c r="AF48" s="899"/>
      <c r="AG48" s="899"/>
      <c r="AH48" s="899"/>
      <c r="AI48" s="899"/>
      <c r="AJ48" s="899"/>
      <c r="AK48" s="899"/>
      <c r="AL48" s="899"/>
      <c r="AM48" s="899"/>
      <c r="AN48" s="899"/>
      <c r="AO48" s="899"/>
      <c r="AP48" s="899"/>
      <c r="AQ48" s="899"/>
      <c r="AR48" s="899"/>
      <c r="AS48" s="899"/>
      <c r="AT48" s="899"/>
      <c r="AU48" s="899"/>
      <c r="AV48" s="899"/>
      <c r="AW48" s="899"/>
      <c r="AX48" s="899"/>
      <c r="AY48" s="899"/>
      <c r="AZ48" s="899"/>
      <c r="BA48" s="899"/>
      <c r="BB48" s="899"/>
      <c r="BC48" s="899"/>
      <c r="BD48" s="899"/>
      <c r="BE48" s="899"/>
      <c r="BF48" s="899"/>
      <c r="BG48" s="899"/>
      <c r="BH48" s="899"/>
      <c r="BI48" s="899"/>
      <c r="BJ48" s="899"/>
      <c r="BK48" s="899"/>
      <c r="BL48" s="899"/>
      <c r="BM48" s="899"/>
      <c r="BN48" s="899"/>
      <c r="BO48" s="899"/>
      <c r="BP48" s="899"/>
      <c r="BQ48" s="899"/>
      <c r="BR48" s="899"/>
      <c r="BS48" s="899"/>
      <c r="BT48" s="899"/>
      <c r="BU48" s="899"/>
      <c r="BV48" s="899"/>
      <c r="BW48" s="899"/>
      <c r="BX48" s="899"/>
      <c r="BY48" s="899"/>
      <c r="BZ48" s="899"/>
      <c r="CA48" s="899"/>
      <c r="CB48" s="899"/>
      <c r="CC48" s="899"/>
      <c r="CD48" s="899"/>
      <c r="CE48" s="899"/>
      <c r="CF48" s="899"/>
      <c r="CG48" s="899"/>
      <c r="CH48" s="899"/>
      <c r="CI48" s="899"/>
      <c r="CJ48" s="899"/>
      <c r="CK48" s="899"/>
      <c r="CL48" s="899"/>
      <c r="CM48" s="899"/>
      <c r="CN48" s="899"/>
      <c r="CO48" s="899"/>
      <c r="CP48" s="899"/>
      <c r="CQ48" s="899"/>
      <c r="CR48" s="899"/>
      <c r="CS48" s="899"/>
      <c r="CT48" s="899"/>
      <c r="CU48" s="899"/>
      <c r="CV48" s="899"/>
      <c r="CW48" s="899"/>
      <c r="CX48" s="899"/>
      <c r="CY48" s="899"/>
      <c r="CZ48" s="899"/>
      <c r="DA48" s="899"/>
      <c r="DB48" s="899"/>
      <c r="DC48" s="899"/>
      <c r="DD48" s="899"/>
      <c r="DE48" s="899"/>
      <c r="DF48" s="899"/>
      <c r="DG48" s="899"/>
      <c r="DH48" s="899"/>
      <c r="DI48" s="899"/>
      <c r="DJ48" s="899"/>
      <c r="DK48" s="899"/>
      <c r="DL48" s="899"/>
      <c r="DM48" s="899"/>
      <c r="DN48" s="899"/>
      <c r="DO48" s="899"/>
      <c r="DP48" s="899"/>
      <c r="DQ48" s="899"/>
      <c r="DR48" s="899"/>
      <c r="DS48" s="899"/>
      <c r="DT48" s="899"/>
      <c r="DU48" s="899"/>
      <c r="DV48" s="899"/>
      <c r="DW48" s="899"/>
      <c r="DX48" s="899"/>
      <c r="DY48" s="899"/>
      <c r="DZ48" s="899"/>
      <c r="EA48" s="899"/>
      <c r="EB48" s="899"/>
      <c r="EC48" s="899"/>
      <c r="ED48" s="899"/>
      <c r="EE48" s="899"/>
      <c r="EF48" s="899"/>
      <c r="EG48" s="899"/>
      <c r="EH48" s="899"/>
      <c r="EI48" s="899"/>
      <c r="EJ48" s="899"/>
      <c r="EK48" s="899"/>
      <c r="EL48" s="899"/>
      <c r="EM48" s="899"/>
      <c r="EN48" s="899"/>
      <c r="EO48" s="899"/>
      <c r="EP48" s="899"/>
      <c r="EQ48" s="899"/>
      <c r="ER48" s="899"/>
      <c r="ES48" s="899"/>
      <c r="ET48" s="899"/>
      <c r="EU48" s="899"/>
      <c r="EV48" s="899"/>
      <c r="EW48" s="899"/>
      <c r="EX48" s="899"/>
      <c r="EY48" s="899"/>
      <c r="EZ48" s="899"/>
      <c r="FA48" s="899"/>
      <c r="FB48" s="899"/>
      <c r="FC48" s="899"/>
      <c r="FD48" s="899"/>
      <c r="FE48" s="899"/>
      <c r="FF48" s="899"/>
      <c r="FG48" s="899"/>
      <c r="FH48" s="899"/>
      <c r="FI48" s="899"/>
      <c r="FJ48" s="899"/>
      <c r="FK48" s="899"/>
      <c r="FL48" s="899"/>
      <c r="FM48" s="899"/>
      <c r="FN48" s="899"/>
      <c r="FO48" s="899"/>
      <c r="FP48" s="899"/>
      <c r="FQ48" s="899"/>
      <c r="FR48" s="899"/>
      <c r="FS48" s="899"/>
      <c r="FT48" s="899"/>
      <c r="FU48" s="899"/>
      <c r="FV48" s="899"/>
      <c r="FW48" s="899"/>
      <c r="FX48" s="899"/>
      <c r="FY48" s="899"/>
      <c r="FZ48" s="899"/>
      <c r="GA48" s="899"/>
      <c r="GB48" s="899"/>
      <c r="GC48" s="899"/>
      <c r="GD48" s="899"/>
      <c r="GE48" s="899"/>
      <c r="GF48" s="899"/>
      <c r="GG48" s="899"/>
      <c r="GH48" s="899"/>
      <c r="GI48" s="899"/>
      <c r="GJ48" s="899"/>
      <c r="GK48" s="899"/>
      <c r="GL48" s="899"/>
      <c r="GM48" s="899"/>
      <c r="GN48" s="899"/>
      <c r="GO48" s="899"/>
      <c r="GP48" s="899"/>
      <c r="GQ48" s="899"/>
      <c r="GR48" s="899"/>
      <c r="GS48" s="899"/>
      <c r="GT48" s="899"/>
      <c r="GU48" s="899"/>
      <c r="GV48" s="899"/>
      <c r="GW48" s="899"/>
      <c r="GX48" s="899"/>
      <c r="GY48" s="899"/>
      <c r="GZ48" s="899"/>
      <c r="HA48" s="899"/>
      <c r="HB48" s="899"/>
      <c r="HC48" s="899"/>
      <c r="HD48" s="899"/>
      <c r="HE48" s="899"/>
      <c r="HF48" s="899"/>
      <c r="HG48" s="899"/>
      <c r="HH48" s="899"/>
      <c r="HI48" s="899"/>
      <c r="HJ48" s="899"/>
      <c r="HK48" s="899"/>
      <c r="HL48" s="899"/>
      <c r="HM48" s="899"/>
      <c r="HN48" s="899"/>
      <c r="HO48" s="899"/>
      <c r="HP48" s="899"/>
      <c r="HQ48" s="899"/>
      <c r="HR48" s="899"/>
      <c r="HS48" s="899"/>
      <c r="HT48" s="899"/>
      <c r="HU48" s="899"/>
      <c r="HV48" s="899"/>
      <c r="HW48" s="899"/>
      <c r="HX48" s="899"/>
      <c r="HY48" s="899"/>
    </row>
    <row r="49" spans="1:233" s="900" customFormat="1" ht="12.75">
      <c r="A49" s="902"/>
      <c r="B49" s="392" t="s">
        <v>152</v>
      </c>
      <c r="C49" s="92">
        <f>'Existing Management Practices'!C49</f>
        <v>0</v>
      </c>
      <c r="D49" s="92">
        <f>'Existing Management Practices'!D49</f>
        <v>0</v>
      </c>
      <c r="E49" s="92">
        <f>'Existing Management Practices'!E49</f>
        <v>0</v>
      </c>
      <c r="F49" s="903"/>
      <c r="G49" s="904"/>
      <c r="H49" s="904"/>
      <c r="I49" s="904"/>
      <c r="J49" s="901"/>
      <c r="K49" s="899"/>
      <c r="L49" s="899"/>
      <c r="M49" s="899"/>
      <c r="N49" s="899"/>
      <c r="O49" s="899"/>
      <c r="P49" s="899"/>
      <c r="Q49" s="899"/>
      <c r="R49" s="899"/>
      <c r="S49" s="899"/>
      <c r="T49" s="899"/>
      <c r="U49" s="899"/>
      <c r="V49" s="899"/>
      <c r="W49" s="899"/>
      <c r="X49" s="899"/>
      <c r="Y49" s="899"/>
      <c r="Z49" s="899"/>
      <c r="AA49" s="899"/>
      <c r="AB49" s="899"/>
      <c r="AC49" s="899"/>
      <c r="AD49" s="899"/>
      <c r="AE49" s="899"/>
      <c r="AF49" s="899"/>
      <c r="AG49" s="899"/>
      <c r="AH49" s="899"/>
      <c r="AI49" s="899"/>
      <c r="AJ49" s="899"/>
      <c r="AK49" s="899"/>
      <c r="AL49" s="899"/>
      <c r="AM49" s="899"/>
      <c r="AN49" s="899"/>
      <c r="AO49" s="899"/>
      <c r="AP49" s="899"/>
      <c r="AQ49" s="899"/>
      <c r="AR49" s="899"/>
      <c r="AS49" s="899"/>
      <c r="AT49" s="899"/>
      <c r="AU49" s="899"/>
      <c r="AV49" s="899"/>
      <c r="AW49" s="899"/>
      <c r="AX49" s="899"/>
      <c r="AY49" s="899"/>
      <c r="AZ49" s="899"/>
      <c r="BA49" s="899"/>
      <c r="BB49" s="899"/>
      <c r="BC49" s="899"/>
      <c r="BD49" s="899"/>
      <c r="BE49" s="899"/>
      <c r="BF49" s="899"/>
      <c r="BG49" s="899"/>
      <c r="BH49" s="899"/>
      <c r="BI49" s="899"/>
      <c r="BJ49" s="899"/>
      <c r="BK49" s="899"/>
      <c r="BL49" s="899"/>
      <c r="BM49" s="899"/>
      <c r="BN49" s="899"/>
      <c r="BO49" s="899"/>
      <c r="BP49" s="899"/>
      <c r="BQ49" s="899"/>
      <c r="BR49" s="899"/>
      <c r="BS49" s="899"/>
      <c r="BT49" s="899"/>
      <c r="BU49" s="899"/>
      <c r="BV49" s="899"/>
      <c r="BW49" s="899"/>
      <c r="BX49" s="899"/>
      <c r="BY49" s="899"/>
      <c r="BZ49" s="899"/>
      <c r="CA49" s="899"/>
      <c r="CB49" s="899"/>
      <c r="CC49" s="899"/>
      <c r="CD49" s="899"/>
      <c r="CE49" s="899"/>
      <c r="CF49" s="899"/>
      <c r="CG49" s="899"/>
      <c r="CH49" s="899"/>
      <c r="CI49" s="899"/>
      <c r="CJ49" s="899"/>
      <c r="CK49" s="899"/>
      <c r="CL49" s="899"/>
      <c r="CM49" s="899"/>
      <c r="CN49" s="899"/>
      <c r="CO49" s="899"/>
      <c r="CP49" s="899"/>
      <c r="CQ49" s="899"/>
      <c r="CR49" s="899"/>
      <c r="CS49" s="899"/>
      <c r="CT49" s="899"/>
      <c r="CU49" s="899"/>
      <c r="CV49" s="899"/>
      <c r="CW49" s="899"/>
      <c r="CX49" s="899"/>
      <c r="CY49" s="899"/>
      <c r="CZ49" s="899"/>
      <c r="DA49" s="899"/>
      <c r="DB49" s="899"/>
      <c r="DC49" s="899"/>
      <c r="DD49" s="899"/>
      <c r="DE49" s="899"/>
      <c r="DF49" s="899"/>
      <c r="DG49" s="899"/>
      <c r="DH49" s="899"/>
      <c r="DI49" s="899"/>
      <c r="DJ49" s="899"/>
      <c r="DK49" s="899"/>
      <c r="DL49" s="899"/>
      <c r="DM49" s="899"/>
      <c r="DN49" s="899"/>
      <c r="DO49" s="899"/>
      <c r="DP49" s="899"/>
      <c r="DQ49" s="899"/>
      <c r="DR49" s="899"/>
      <c r="DS49" s="899"/>
      <c r="DT49" s="899"/>
      <c r="DU49" s="899"/>
      <c r="DV49" s="899"/>
      <c r="DW49" s="899"/>
      <c r="DX49" s="899"/>
      <c r="DY49" s="899"/>
      <c r="DZ49" s="899"/>
      <c r="EA49" s="899"/>
      <c r="EB49" s="899"/>
      <c r="EC49" s="899"/>
      <c r="ED49" s="899"/>
      <c r="EE49" s="899"/>
      <c r="EF49" s="899"/>
      <c r="EG49" s="899"/>
      <c r="EH49" s="899"/>
      <c r="EI49" s="899"/>
      <c r="EJ49" s="899"/>
      <c r="EK49" s="899"/>
      <c r="EL49" s="899"/>
      <c r="EM49" s="899"/>
      <c r="EN49" s="899"/>
      <c r="EO49" s="899"/>
      <c r="EP49" s="899"/>
      <c r="EQ49" s="899"/>
      <c r="ER49" s="899"/>
      <c r="ES49" s="899"/>
      <c r="ET49" s="899"/>
      <c r="EU49" s="899"/>
      <c r="EV49" s="899"/>
      <c r="EW49" s="899"/>
      <c r="EX49" s="899"/>
      <c r="EY49" s="899"/>
      <c r="EZ49" s="899"/>
      <c r="FA49" s="899"/>
      <c r="FB49" s="899"/>
      <c r="FC49" s="899"/>
      <c r="FD49" s="899"/>
      <c r="FE49" s="899"/>
      <c r="FF49" s="899"/>
      <c r="FG49" s="899"/>
      <c r="FH49" s="899"/>
      <c r="FI49" s="899"/>
      <c r="FJ49" s="899"/>
      <c r="FK49" s="899"/>
      <c r="FL49" s="899"/>
      <c r="FM49" s="899"/>
      <c r="FN49" s="899"/>
      <c r="FO49" s="899"/>
      <c r="FP49" s="899"/>
      <c r="FQ49" s="899"/>
      <c r="FR49" s="899"/>
      <c r="FS49" s="899"/>
      <c r="FT49" s="899"/>
      <c r="FU49" s="899"/>
      <c r="FV49" s="899"/>
      <c r="FW49" s="899"/>
      <c r="FX49" s="899"/>
      <c r="FY49" s="899"/>
      <c r="FZ49" s="899"/>
      <c r="GA49" s="899"/>
      <c r="GB49" s="899"/>
      <c r="GC49" s="899"/>
      <c r="GD49" s="899"/>
      <c r="GE49" s="899"/>
      <c r="GF49" s="899"/>
      <c r="GG49" s="899"/>
      <c r="GH49" s="899"/>
      <c r="GI49" s="899"/>
      <c r="GJ49" s="899"/>
      <c r="GK49" s="899"/>
      <c r="GL49" s="899"/>
      <c r="GM49" s="899"/>
      <c r="GN49" s="899"/>
      <c r="GO49" s="899"/>
      <c r="GP49" s="899"/>
      <c r="GQ49" s="899"/>
      <c r="GR49" s="899"/>
      <c r="GS49" s="899"/>
      <c r="GT49" s="899"/>
      <c r="GU49" s="899"/>
      <c r="GV49" s="899"/>
      <c r="GW49" s="899"/>
      <c r="GX49" s="899"/>
      <c r="GY49" s="899"/>
      <c r="GZ49" s="899"/>
      <c r="HA49" s="899"/>
      <c r="HB49" s="899"/>
      <c r="HC49" s="899"/>
      <c r="HD49" s="899"/>
      <c r="HE49" s="899"/>
      <c r="HF49" s="899"/>
      <c r="HG49" s="899"/>
      <c r="HH49" s="899"/>
      <c r="HI49" s="899"/>
      <c r="HJ49" s="899"/>
      <c r="HK49" s="899"/>
      <c r="HL49" s="899"/>
      <c r="HM49" s="899"/>
      <c r="HN49" s="899"/>
      <c r="HO49" s="899"/>
      <c r="HP49" s="899"/>
      <c r="HQ49" s="899"/>
      <c r="HR49" s="899"/>
      <c r="HS49" s="899"/>
      <c r="HT49" s="899"/>
      <c r="HU49" s="899"/>
      <c r="HV49" s="899"/>
      <c r="HW49" s="899"/>
      <c r="HX49" s="899"/>
      <c r="HY49" s="899"/>
    </row>
    <row r="50" spans="1:233" ht="15" customHeight="1" thickBot="1">
      <c r="A50" s="378"/>
      <c r="B50" s="144" t="s">
        <v>124</v>
      </c>
      <c r="C50" s="210">
        <f>'Existing Management Practices'!C50</f>
        <v>0</v>
      </c>
      <c r="D50" s="210">
        <f>'Existing Management Practices'!D50</f>
        <v>0</v>
      </c>
      <c r="E50" s="210">
        <f>'Existing Management Practices'!E50</f>
        <v>0</v>
      </c>
      <c r="F50" s="363"/>
      <c r="G50" s="363"/>
      <c r="H50" s="363"/>
      <c r="I50" s="363"/>
      <c r="J50" s="472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365"/>
      <c r="AC50" s="365"/>
      <c r="AD50" s="365"/>
      <c r="AE50" s="365"/>
      <c r="AF50" s="365"/>
      <c r="AG50" s="365"/>
      <c r="AH50" s="365"/>
      <c r="AI50" s="365"/>
      <c r="AJ50" s="365"/>
      <c r="AK50" s="365"/>
      <c r="AL50" s="365"/>
      <c r="AM50" s="365"/>
      <c r="AN50" s="365"/>
      <c r="AO50" s="365"/>
      <c r="AP50" s="365"/>
      <c r="AQ50" s="365"/>
      <c r="AR50" s="365"/>
      <c r="AS50" s="365"/>
      <c r="AT50" s="365"/>
      <c r="AU50" s="365"/>
      <c r="AV50" s="365"/>
      <c r="AW50" s="365"/>
      <c r="AX50" s="365"/>
      <c r="AY50" s="365"/>
      <c r="AZ50" s="365"/>
      <c r="BA50" s="365"/>
      <c r="BB50" s="365"/>
      <c r="BC50" s="365"/>
      <c r="BD50" s="365"/>
      <c r="BE50" s="365"/>
      <c r="BF50" s="365"/>
      <c r="BG50" s="365"/>
      <c r="BH50" s="365"/>
      <c r="BI50" s="365"/>
      <c r="BJ50" s="365"/>
      <c r="BK50" s="365"/>
      <c r="BL50" s="365"/>
      <c r="BM50" s="365"/>
      <c r="BN50" s="365"/>
      <c r="BO50" s="365"/>
      <c r="BP50" s="365"/>
      <c r="BQ50" s="365"/>
      <c r="BR50" s="365"/>
      <c r="BS50" s="365"/>
      <c r="BT50" s="365"/>
      <c r="BU50" s="365"/>
      <c r="BV50" s="365"/>
      <c r="BW50" s="365"/>
      <c r="BX50" s="365"/>
      <c r="BY50" s="365"/>
      <c r="BZ50" s="365"/>
      <c r="CA50" s="365"/>
      <c r="CB50" s="365"/>
      <c r="CC50" s="365"/>
      <c r="CD50" s="365"/>
      <c r="CE50" s="365"/>
      <c r="CF50" s="365"/>
      <c r="CG50" s="365"/>
      <c r="CH50" s="365"/>
      <c r="CI50" s="365"/>
      <c r="CJ50" s="365"/>
      <c r="CK50" s="365"/>
      <c r="CL50" s="365"/>
      <c r="CM50" s="365"/>
      <c r="CN50" s="365"/>
      <c r="CO50" s="365"/>
      <c r="CP50" s="365"/>
      <c r="CQ50" s="365"/>
      <c r="CR50" s="365"/>
      <c r="CS50" s="365"/>
      <c r="CT50" s="365"/>
      <c r="CU50" s="365"/>
      <c r="CV50" s="365"/>
      <c r="CW50" s="365"/>
      <c r="CX50" s="365"/>
      <c r="CY50" s="365"/>
      <c r="CZ50" s="365"/>
      <c r="DA50" s="365"/>
      <c r="DB50" s="365"/>
      <c r="DC50" s="365"/>
      <c r="DD50" s="365"/>
      <c r="DE50" s="365"/>
      <c r="DF50" s="365"/>
      <c r="DG50" s="365"/>
      <c r="DH50" s="365"/>
      <c r="DI50" s="365"/>
      <c r="DJ50" s="365"/>
      <c r="DK50" s="365"/>
      <c r="DL50" s="365"/>
      <c r="DM50" s="365"/>
      <c r="DN50" s="365"/>
      <c r="DO50" s="365"/>
      <c r="DP50" s="365"/>
      <c r="DQ50" s="365"/>
      <c r="DR50" s="365"/>
      <c r="DS50" s="365"/>
      <c r="DT50" s="365"/>
      <c r="DU50" s="365"/>
      <c r="DV50" s="365"/>
      <c r="DW50" s="365"/>
      <c r="DX50" s="365"/>
      <c r="DY50" s="365"/>
      <c r="DZ50" s="365"/>
      <c r="EA50" s="365"/>
      <c r="EB50" s="365"/>
      <c r="EC50" s="365"/>
      <c r="ED50" s="365"/>
      <c r="EE50" s="365"/>
      <c r="EF50" s="365"/>
      <c r="EG50" s="365"/>
      <c r="EH50" s="365"/>
      <c r="EI50" s="365"/>
      <c r="EJ50" s="365"/>
      <c r="EK50" s="365"/>
      <c r="EL50" s="365"/>
      <c r="EM50" s="365"/>
      <c r="EN50" s="365"/>
      <c r="EO50" s="365"/>
      <c r="EP50" s="365"/>
      <c r="EQ50" s="365"/>
      <c r="ER50" s="365"/>
      <c r="ES50" s="365"/>
      <c r="ET50" s="365"/>
      <c r="EU50" s="365"/>
      <c r="EV50" s="365"/>
      <c r="EW50" s="365"/>
      <c r="EX50" s="365"/>
      <c r="EY50" s="365"/>
      <c r="EZ50" s="365"/>
      <c r="FA50" s="365"/>
      <c r="FB50" s="365"/>
      <c r="FC50" s="365"/>
      <c r="FD50" s="365"/>
      <c r="FE50" s="365"/>
      <c r="FF50" s="365"/>
      <c r="FG50" s="365"/>
      <c r="FH50" s="365"/>
      <c r="FI50" s="365"/>
      <c r="FJ50" s="365"/>
      <c r="FK50" s="365"/>
      <c r="FL50" s="365"/>
      <c r="FM50" s="365"/>
      <c r="FN50" s="365"/>
      <c r="FO50" s="365"/>
      <c r="FP50" s="365"/>
      <c r="FQ50" s="365"/>
      <c r="FR50" s="365"/>
      <c r="FS50" s="365"/>
      <c r="FT50" s="365"/>
      <c r="FU50" s="365"/>
      <c r="FV50" s="365"/>
      <c r="FW50" s="365"/>
      <c r="FX50" s="365"/>
      <c r="FY50" s="365"/>
      <c r="FZ50" s="365"/>
      <c r="GA50" s="365"/>
      <c r="GB50" s="365"/>
      <c r="GC50" s="365"/>
      <c r="GD50" s="365"/>
      <c r="GE50" s="365"/>
      <c r="GF50" s="365"/>
      <c r="GG50" s="365"/>
      <c r="GH50" s="365"/>
      <c r="GI50" s="365"/>
      <c r="GJ50" s="365"/>
      <c r="GK50" s="365"/>
      <c r="GL50" s="365"/>
      <c r="GM50" s="365"/>
      <c r="GN50" s="365"/>
      <c r="GO50" s="365"/>
      <c r="GP50" s="365"/>
      <c r="GQ50" s="365"/>
      <c r="GR50" s="365"/>
      <c r="GS50" s="365"/>
      <c r="GT50" s="365"/>
      <c r="GU50" s="365"/>
      <c r="GV50" s="365"/>
      <c r="GW50" s="365"/>
      <c r="GX50" s="365"/>
      <c r="GY50" s="365"/>
      <c r="GZ50" s="365"/>
      <c r="HA50" s="365"/>
      <c r="HB50" s="365"/>
      <c r="HC50" s="365"/>
      <c r="HD50" s="365"/>
      <c r="HE50" s="365"/>
      <c r="HF50" s="365"/>
      <c r="HG50" s="365"/>
      <c r="HH50" s="365"/>
      <c r="HI50" s="365"/>
      <c r="HJ50" s="365"/>
      <c r="HK50" s="365"/>
      <c r="HL50" s="365"/>
      <c r="HM50" s="365"/>
      <c r="HN50" s="365"/>
      <c r="HO50" s="365"/>
      <c r="HP50" s="365"/>
      <c r="HQ50" s="365"/>
      <c r="HR50" s="365"/>
      <c r="HS50" s="365"/>
      <c r="HT50" s="365"/>
      <c r="HU50" s="365"/>
      <c r="HV50" s="365"/>
      <c r="HW50" s="365"/>
      <c r="HX50" s="365"/>
      <c r="HY50" s="365"/>
    </row>
    <row r="51" spans="1:13" s="365" customFormat="1" ht="12.75" customHeight="1" thickBot="1">
      <c r="A51" s="378"/>
      <c r="B51" s="357" t="s">
        <v>256</v>
      </c>
      <c r="C51" s="358">
        <f>'Existing Management Practices'!C51</f>
        <v>0</v>
      </c>
      <c r="D51" s="359"/>
      <c r="E51" s="359"/>
      <c r="F51" s="360"/>
      <c r="G51" s="360"/>
      <c r="H51" s="361"/>
      <c r="I51" s="361"/>
      <c r="J51" s="362"/>
      <c r="K51" s="378"/>
      <c r="L51" s="378"/>
      <c r="M51" s="378"/>
    </row>
    <row r="52" spans="1:12" s="365" customFormat="1" ht="14.25" thickBot="1" thickTop="1">
      <c r="A52" s="371"/>
      <c r="B52"/>
      <c r="C52" s="253"/>
      <c r="D52" s="253"/>
      <c r="E52" s="488"/>
      <c r="F52" s="488"/>
      <c r="G52" s="378"/>
      <c r="H52" s="378"/>
      <c r="I52" s="378"/>
      <c r="J52" s="378"/>
      <c r="K52" s="377"/>
      <c r="L52" s="378"/>
    </row>
    <row r="53" spans="1:233" ht="21.75" thickBot="1" thickTop="1">
      <c r="A53" s="371"/>
      <c r="B53" s="26" t="s">
        <v>237</v>
      </c>
      <c r="C53" s="28"/>
      <c r="D53" s="505"/>
      <c r="E53" s="462"/>
      <c r="F53" s="462"/>
      <c r="G53" s="377"/>
      <c r="H53" s="377"/>
      <c r="I53" s="377"/>
      <c r="J53" s="377"/>
      <c r="K53" s="378"/>
      <c r="L53" s="378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5"/>
      <c r="AQ53" s="365"/>
      <c r="AR53" s="365"/>
      <c r="AS53" s="365"/>
      <c r="AT53" s="365"/>
      <c r="AU53" s="365"/>
      <c r="AV53" s="365"/>
      <c r="AW53" s="365"/>
      <c r="AX53" s="365"/>
      <c r="AY53" s="365"/>
      <c r="AZ53" s="365"/>
      <c r="BA53" s="365"/>
      <c r="BB53" s="365"/>
      <c r="BC53" s="365"/>
      <c r="BD53" s="365"/>
      <c r="BE53" s="365"/>
      <c r="BF53" s="365"/>
      <c r="BG53" s="365"/>
      <c r="BH53" s="365"/>
      <c r="BI53" s="365"/>
      <c r="BJ53" s="365"/>
      <c r="BK53" s="365"/>
      <c r="BL53" s="365"/>
      <c r="BM53" s="365"/>
      <c r="BN53" s="365"/>
      <c r="BO53" s="365"/>
      <c r="BP53" s="365"/>
      <c r="BQ53" s="365"/>
      <c r="BR53" s="365"/>
      <c r="BS53" s="365"/>
      <c r="BT53" s="365"/>
      <c r="BU53" s="365"/>
      <c r="BV53" s="365"/>
      <c r="BW53" s="365"/>
      <c r="BX53" s="365"/>
      <c r="BY53" s="365"/>
      <c r="BZ53" s="365"/>
      <c r="CA53" s="365"/>
      <c r="CB53" s="365"/>
      <c r="CC53" s="365"/>
      <c r="CD53" s="365"/>
      <c r="CE53" s="365"/>
      <c r="CF53" s="365"/>
      <c r="CG53" s="365"/>
      <c r="CH53" s="365"/>
      <c r="CI53" s="365"/>
      <c r="CJ53" s="365"/>
      <c r="CK53" s="365"/>
      <c r="CL53" s="365"/>
      <c r="CM53" s="365"/>
      <c r="CN53" s="365"/>
      <c r="CO53" s="365"/>
      <c r="CP53" s="365"/>
      <c r="CQ53" s="365"/>
      <c r="CR53" s="365"/>
      <c r="CS53" s="365"/>
      <c r="CT53" s="365"/>
      <c r="CU53" s="365"/>
      <c r="CV53" s="365"/>
      <c r="CW53" s="365"/>
      <c r="CX53" s="365"/>
      <c r="CY53" s="365"/>
      <c r="CZ53" s="365"/>
      <c r="DA53" s="365"/>
      <c r="DB53" s="365"/>
      <c r="DC53" s="365"/>
      <c r="DD53" s="365"/>
      <c r="DE53" s="365"/>
      <c r="DF53" s="365"/>
      <c r="DG53" s="365"/>
      <c r="DH53" s="365"/>
      <c r="DI53" s="365"/>
      <c r="DJ53" s="365"/>
      <c r="DK53" s="365"/>
      <c r="DL53" s="365"/>
      <c r="DM53" s="365"/>
      <c r="DN53" s="365"/>
      <c r="DO53" s="365"/>
      <c r="DP53" s="365"/>
      <c r="DQ53" s="365"/>
      <c r="DR53" s="365"/>
      <c r="DS53" s="365"/>
      <c r="DT53" s="365"/>
      <c r="DU53" s="365"/>
      <c r="DV53" s="365"/>
      <c r="DW53" s="365"/>
      <c r="DX53" s="365"/>
      <c r="DY53" s="365"/>
      <c r="DZ53" s="365"/>
      <c r="EA53" s="365"/>
      <c r="EB53" s="365"/>
      <c r="EC53" s="365"/>
      <c r="ED53" s="365"/>
      <c r="EE53" s="365"/>
      <c r="EF53" s="365"/>
      <c r="EG53" s="365"/>
      <c r="EH53" s="365"/>
      <c r="EI53" s="365"/>
      <c r="EJ53" s="365"/>
      <c r="EK53" s="365"/>
      <c r="EL53" s="365"/>
      <c r="EM53" s="365"/>
      <c r="EN53" s="365"/>
      <c r="EO53" s="365"/>
      <c r="EP53" s="365"/>
      <c r="EQ53" s="365"/>
      <c r="ER53" s="365"/>
      <c r="ES53" s="365"/>
      <c r="ET53" s="365"/>
      <c r="EU53" s="365"/>
      <c r="EV53" s="365"/>
      <c r="EW53" s="365"/>
      <c r="EX53" s="365"/>
      <c r="EY53" s="365"/>
      <c r="EZ53" s="365"/>
      <c r="FA53" s="365"/>
      <c r="FB53" s="365"/>
      <c r="FC53" s="365"/>
      <c r="FD53" s="365"/>
      <c r="FE53" s="365"/>
      <c r="FF53" s="365"/>
      <c r="FG53" s="365"/>
      <c r="FH53" s="365"/>
      <c r="FI53" s="365"/>
      <c r="FJ53" s="365"/>
      <c r="FK53" s="365"/>
      <c r="FL53" s="365"/>
      <c r="FM53" s="365"/>
      <c r="FN53" s="365"/>
      <c r="FO53" s="365"/>
      <c r="FP53" s="365"/>
      <c r="FQ53" s="365"/>
      <c r="FR53" s="365"/>
      <c r="FS53" s="365"/>
      <c r="FT53" s="365"/>
      <c r="FU53" s="365"/>
      <c r="FV53" s="365"/>
      <c r="FW53" s="365"/>
      <c r="FX53" s="365"/>
      <c r="FY53" s="365"/>
      <c r="FZ53" s="365"/>
      <c r="GA53" s="365"/>
      <c r="GB53" s="365"/>
      <c r="GC53" s="365"/>
      <c r="GD53" s="365"/>
      <c r="GE53" s="365"/>
      <c r="GF53" s="365"/>
      <c r="GG53" s="365"/>
      <c r="GH53" s="365"/>
      <c r="GI53" s="365"/>
      <c r="GJ53" s="365"/>
      <c r="GK53" s="365"/>
      <c r="GL53" s="365"/>
      <c r="GM53" s="365"/>
      <c r="GN53" s="365"/>
      <c r="GO53" s="365"/>
      <c r="GP53" s="365"/>
      <c r="GQ53" s="365"/>
      <c r="GR53" s="365"/>
      <c r="GS53" s="365"/>
      <c r="GT53" s="365"/>
      <c r="GU53" s="365"/>
      <c r="GV53" s="365"/>
      <c r="GW53" s="365"/>
      <c r="GX53" s="365"/>
      <c r="GY53" s="365"/>
      <c r="GZ53" s="365"/>
      <c r="HA53" s="365"/>
      <c r="HB53" s="365"/>
      <c r="HC53" s="365"/>
      <c r="HD53" s="365"/>
      <c r="HE53" s="365"/>
      <c r="HF53" s="365"/>
      <c r="HG53" s="365"/>
      <c r="HH53" s="365"/>
      <c r="HI53" s="365"/>
      <c r="HJ53" s="365"/>
      <c r="HK53" s="365"/>
      <c r="HL53" s="365"/>
      <c r="HM53" s="365"/>
      <c r="HN53" s="365"/>
      <c r="HO53" s="365"/>
      <c r="HP53" s="365"/>
      <c r="HQ53" s="365"/>
      <c r="HR53" s="365"/>
      <c r="HS53" s="365"/>
      <c r="HT53" s="365"/>
      <c r="HU53" s="365"/>
      <c r="HV53" s="365"/>
      <c r="HW53" s="365"/>
      <c r="HX53" s="365"/>
      <c r="HY53" s="365"/>
    </row>
    <row r="54" spans="1:233" ht="12.75">
      <c r="A54" s="506"/>
      <c r="B54" s="41"/>
      <c r="C54" s="507"/>
      <c r="D54" s="33"/>
      <c r="E54" s="378"/>
      <c r="F54" s="378"/>
      <c r="G54" s="378"/>
      <c r="H54" s="378"/>
      <c r="I54" s="378"/>
      <c r="J54" s="378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365"/>
      <c r="AJ54" s="365"/>
      <c r="AK54" s="365"/>
      <c r="AL54" s="365"/>
      <c r="AM54" s="365"/>
      <c r="AN54" s="365"/>
      <c r="AO54" s="365"/>
      <c r="AP54" s="365"/>
      <c r="AQ54" s="365"/>
      <c r="AR54" s="365"/>
      <c r="AS54" s="365"/>
      <c r="AT54" s="365"/>
      <c r="AU54" s="365"/>
      <c r="AV54" s="365"/>
      <c r="AW54" s="365"/>
      <c r="AX54" s="365"/>
      <c r="AY54" s="365"/>
      <c r="AZ54" s="365"/>
      <c r="BA54" s="365"/>
      <c r="BB54" s="365"/>
      <c r="BC54" s="365"/>
      <c r="BD54" s="365"/>
      <c r="BE54" s="365"/>
      <c r="BF54" s="365"/>
      <c r="BG54" s="365"/>
      <c r="BH54" s="365"/>
      <c r="BI54" s="365"/>
      <c r="BJ54" s="365"/>
      <c r="BK54" s="365"/>
      <c r="BL54" s="365"/>
      <c r="BM54" s="365"/>
      <c r="BN54" s="365"/>
      <c r="BO54" s="365"/>
      <c r="BP54" s="365"/>
      <c r="BQ54" s="365"/>
      <c r="BR54" s="365"/>
      <c r="BS54" s="365"/>
      <c r="BT54" s="365"/>
      <c r="BU54" s="365"/>
      <c r="BV54" s="365"/>
      <c r="BW54" s="365"/>
      <c r="BX54" s="365"/>
      <c r="BY54" s="365"/>
      <c r="BZ54" s="365"/>
      <c r="CA54" s="365"/>
      <c r="CB54" s="365"/>
      <c r="CC54" s="365"/>
      <c r="CD54" s="365"/>
      <c r="CE54" s="365"/>
      <c r="CF54" s="365"/>
      <c r="CG54" s="365"/>
      <c r="CH54" s="365"/>
      <c r="CI54" s="365"/>
      <c r="CJ54" s="365"/>
      <c r="CK54" s="365"/>
      <c r="CL54" s="365"/>
      <c r="CM54" s="365"/>
      <c r="CN54" s="365"/>
      <c r="CO54" s="365"/>
      <c r="CP54" s="365"/>
      <c r="CQ54" s="365"/>
      <c r="CR54" s="365"/>
      <c r="CS54" s="365"/>
      <c r="CT54" s="365"/>
      <c r="CU54" s="365"/>
      <c r="CV54" s="365"/>
      <c r="CW54" s="365"/>
      <c r="CX54" s="365"/>
      <c r="CY54" s="365"/>
      <c r="CZ54" s="365"/>
      <c r="DA54" s="365"/>
      <c r="DB54" s="365"/>
      <c r="DC54" s="365"/>
      <c r="DD54" s="365"/>
      <c r="DE54" s="365"/>
      <c r="DF54" s="365"/>
      <c r="DG54" s="365"/>
      <c r="DH54" s="365"/>
      <c r="DI54" s="365"/>
      <c r="DJ54" s="365"/>
      <c r="DK54" s="365"/>
      <c r="DL54" s="365"/>
      <c r="DM54" s="365"/>
      <c r="DN54" s="365"/>
      <c r="DO54" s="365"/>
      <c r="DP54" s="365"/>
      <c r="DQ54" s="365"/>
      <c r="DR54" s="365"/>
      <c r="DS54" s="365"/>
      <c r="DT54" s="365"/>
      <c r="DU54" s="365"/>
      <c r="DV54" s="365"/>
      <c r="DW54" s="365"/>
      <c r="DX54" s="365"/>
      <c r="DY54" s="365"/>
      <c r="DZ54" s="365"/>
      <c r="EA54" s="365"/>
      <c r="EB54" s="365"/>
      <c r="EC54" s="365"/>
      <c r="ED54" s="365"/>
      <c r="EE54" s="365"/>
      <c r="EF54" s="365"/>
      <c r="EG54" s="365"/>
      <c r="EH54" s="365"/>
      <c r="EI54" s="365"/>
      <c r="EJ54" s="365"/>
      <c r="EK54" s="365"/>
      <c r="EL54" s="365"/>
      <c r="EM54" s="365"/>
      <c r="EN54" s="365"/>
      <c r="EO54" s="365"/>
      <c r="EP54" s="365"/>
      <c r="EQ54" s="365"/>
      <c r="ER54" s="365"/>
      <c r="ES54" s="365"/>
      <c r="ET54" s="365"/>
      <c r="EU54" s="365"/>
      <c r="EV54" s="365"/>
      <c r="EW54" s="365"/>
      <c r="EX54" s="365"/>
      <c r="EY54" s="365"/>
      <c r="EZ54" s="365"/>
      <c r="FA54" s="365"/>
      <c r="FB54" s="365"/>
      <c r="FC54" s="365"/>
      <c r="FD54" s="365"/>
      <c r="FE54" s="365"/>
      <c r="FF54" s="365"/>
      <c r="FG54" s="365"/>
      <c r="FH54" s="365"/>
      <c r="FI54" s="365"/>
      <c r="FJ54" s="365"/>
      <c r="FK54" s="365"/>
      <c r="FL54" s="365"/>
      <c r="FM54" s="365"/>
      <c r="FN54" s="365"/>
      <c r="FO54" s="365"/>
      <c r="FP54" s="365"/>
      <c r="FQ54" s="365"/>
      <c r="FR54" s="365"/>
      <c r="FS54" s="365"/>
      <c r="FT54" s="365"/>
      <c r="FU54" s="365"/>
      <c r="FV54" s="365"/>
      <c r="FW54" s="365"/>
      <c r="FX54" s="365"/>
      <c r="FY54" s="365"/>
      <c r="FZ54" s="365"/>
      <c r="GA54" s="365"/>
      <c r="GB54" s="365"/>
      <c r="GC54" s="365"/>
      <c r="GD54" s="365"/>
      <c r="GE54" s="365"/>
      <c r="GF54" s="365"/>
      <c r="GG54" s="365"/>
      <c r="GH54" s="365"/>
      <c r="GI54" s="365"/>
      <c r="GJ54" s="365"/>
      <c r="GK54" s="365"/>
      <c r="GL54" s="365"/>
      <c r="GM54" s="365"/>
      <c r="GN54" s="365"/>
      <c r="GO54" s="365"/>
      <c r="GP54" s="365"/>
      <c r="GQ54" s="365"/>
      <c r="GR54" s="365"/>
      <c r="GS54" s="365"/>
      <c r="GT54" s="365"/>
      <c r="GU54" s="365"/>
      <c r="GV54" s="365"/>
      <c r="GW54" s="365"/>
      <c r="GX54" s="365"/>
      <c r="GY54" s="365"/>
      <c r="GZ54" s="365"/>
      <c r="HA54" s="365"/>
      <c r="HB54" s="365"/>
      <c r="HC54" s="365"/>
      <c r="HD54" s="365"/>
      <c r="HE54" s="365"/>
      <c r="HF54" s="365"/>
      <c r="HG54" s="365"/>
      <c r="HH54" s="365"/>
      <c r="HI54" s="365"/>
      <c r="HJ54" s="365"/>
      <c r="HK54" s="365"/>
      <c r="HL54" s="365"/>
      <c r="HM54" s="365"/>
      <c r="HN54" s="365"/>
      <c r="HO54" s="365"/>
      <c r="HP54" s="365"/>
      <c r="HQ54" s="365"/>
      <c r="HR54" s="365"/>
      <c r="HS54" s="365"/>
      <c r="HT54" s="365"/>
      <c r="HU54" s="365"/>
      <c r="HV54" s="365"/>
      <c r="HW54" s="365"/>
      <c r="HX54" s="365"/>
      <c r="HY54" s="365"/>
    </row>
    <row r="55" spans="1:233" ht="12.75">
      <c r="A55" s="371"/>
      <c r="B55" s="78" t="s">
        <v>126</v>
      </c>
      <c r="C55" s="46">
        <f>'Existing Management Practices'!C57</f>
        <v>2000</v>
      </c>
      <c r="E55" s="378"/>
      <c r="F55" s="378"/>
      <c r="G55" s="365"/>
      <c r="H55" s="365"/>
      <c r="I55" s="365"/>
      <c r="J55" s="365"/>
      <c r="K55" s="365"/>
      <c r="L55" s="365"/>
      <c r="M55" s="365"/>
      <c r="N55" s="365"/>
      <c r="O55" s="365"/>
      <c r="P55" s="365"/>
      <c r="Q55" s="365"/>
      <c r="R55" s="365"/>
      <c r="S55" s="365"/>
      <c r="T55" s="365"/>
      <c r="U55" s="365"/>
      <c r="V55" s="365"/>
      <c r="W55" s="365"/>
      <c r="X55" s="365"/>
      <c r="Y55" s="365"/>
      <c r="Z55" s="365"/>
      <c r="AA55" s="365"/>
      <c r="AB55" s="365"/>
      <c r="AC55" s="365"/>
      <c r="AD55" s="365"/>
      <c r="AE55" s="365"/>
      <c r="AF55" s="365"/>
      <c r="AG55" s="365"/>
      <c r="AH55" s="365"/>
      <c r="AI55" s="365"/>
      <c r="AJ55" s="365"/>
      <c r="AK55" s="365"/>
      <c r="AL55" s="365"/>
      <c r="AM55" s="365"/>
      <c r="AN55" s="365"/>
      <c r="AO55" s="365"/>
      <c r="AP55" s="365"/>
      <c r="AQ55" s="365"/>
      <c r="AR55" s="365"/>
      <c r="AS55" s="365"/>
      <c r="AT55" s="365"/>
      <c r="AU55" s="365"/>
      <c r="AV55" s="365"/>
      <c r="AW55" s="365"/>
      <c r="AX55" s="365"/>
      <c r="AY55" s="365"/>
      <c r="AZ55" s="365"/>
      <c r="BA55" s="365"/>
      <c r="BB55" s="365"/>
      <c r="BC55" s="365"/>
      <c r="BD55" s="365"/>
      <c r="BE55" s="365"/>
      <c r="BF55" s="365"/>
      <c r="BG55" s="365"/>
      <c r="BH55" s="365"/>
      <c r="BI55" s="365"/>
      <c r="BJ55" s="365"/>
      <c r="BK55" s="365"/>
      <c r="BL55" s="365"/>
      <c r="BM55" s="365"/>
      <c r="BN55" s="365"/>
      <c r="BO55" s="365"/>
      <c r="BP55" s="365"/>
      <c r="BQ55" s="365"/>
      <c r="BR55" s="365"/>
      <c r="BS55" s="365"/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5"/>
      <c r="DJ55" s="365"/>
      <c r="DK55" s="365"/>
      <c r="DL55" s="365"/>
      <c r="DM55" s="365"/>
      <c r="DN55" s="365"/>
      <c r="DO55" s="365"/>
      <c r="DP55" s="365"/>
      <c r="DQ55" s="365"/>
      <c r="DR55" s="365"/>
      <c r="DS55" s="365"/>
      <c r="DT55" s="365"/>
      <c r="DU55" s="365"/>
      <c r="DV55" s="365"/>
      <c r="DW55" s="365"/>
      <c r="DX55" s="365"/>
      <c r="DY55" s="365"/>
      <c r="DZ55" s="365"/>
      <c r="EA55" s="365"/>
      <c r="EB55" s="365"/>
      <c r="EC55" s="365"/>
      <c r="ED55" s="365"/>
      <c r="EE55" s="365"/>
      <c r="EF55" s="365"/>
      <c r="EG55" s="365"/>
      <c r="EH55" s="365"/>
      <c r="EI55" s="365"/>
      <c r="EJ55" s="365"/>
      <c r="EK55" s="365"/>
      <c r="EL55" s="365"/>
      <c r="EM55" s="365"/>
      <c r="EN55" s="365"/>
      <c r="EO55" s="365"/>
      <c r="EP55" s="365"/>
      <c r="EQ55" s="365"/>
      <c r="ER55" s="365"/>
      <c r="ES55" s="365"/>
      <c r="ET55" s="365"/>
      <c r="EU55" s="365"/>
      <c r="EV55" s="365"/>
      <c r="EW55" s="365"/>
      <c r="EX55" s="365"/>
      <c r="EY55" s="365"/>
      <c r="EZ55" s="365"/>
      <c r="FA55" s="365"/>
      <c r="FB55" s="365"/>
      <c r="FC55" s="365"/>
      <c r="FD55" s="365"/>
      <c r="FE55" s="365"/>
      <c r="FF55" s="365"/>
      <c r="FG55" s="365"/>
      <c r="FH55" s="365"/>
      <c r="FI55" s="365"/>
      <c r="FJ55" s="365"/>
      <c r="FK55" s="365"/>
      <c r="FL55" s="365"/>
      <c r="FM55" s="365"/>
      <c r="FN55" s="365"/>
      <c r="FO55" s="365"/>
      <c r="FP55" s="365"/>
      <c r="FQ55" s="365"/>
      <c r="FR55" s="365"/>
      <c r="FS55" s="365"/>
      <c r="FT55" s="365"/>
      <c r="FU55" s="365"/>
      <c r="FV55" s="365"/>
      <c r="FW55" s="365"/>
      <c r="FX55" s="365"/>
      <c r="FY55" s="365"/>
      <c r="FZ55" s="365"/>
      <c r="GA55" s="365"/>
      <c r="GB55" s="365"/>
      <c r="GC55" s="365"/>
      <c r="GD55" s="365"/>
      <c r="GE55" s="365"/>
      <c r="GF55" s="365"/>
      <c r="GG55" s="365"/>
      <c r="GH55" s="365"/>
      <c r="GI55" s="365"/>
      <c r="GJ55" s="365"/>
      <c r="GK55" s="365"/>
      <c r="GL55" s="365"/>
      <c r="GM55" s="365"/>
      <c r="GN55" s="365"/>
      <c r="GO55" s="365"/>
      <c r="GP55" s="365"/>
      <c r="GQ55" s="365"/>
      <c r="GR55" s="365"/>
      <c r="GS55" s="365"/>
      <c r="GT55" s="365"/>
      <c r="GU55" s="365"/>
      <c r="GV55" s="365"/>
      <c r="GW55" s="365"/>
      <c r="GX55" s="365"/>
      <c r="GY55" s="365"/>
      <c r="GZ55" s="365"/>
      <c r="HA55" s="365"/>
      <c r="HB55" s="365"/>
      <c r="HC55" s="365"/>
      <c r="HD55" s="365"/>
      <c r="HE55" s="365"/>
      <c r="HF55" s="365"/>
      <c r="HG55" s="365"/>
      <c r="HH55" s="365"/>
      <c r="HI55" s="365"/>
      <c r="HJ55" s="365"/>
      <c r="HK55" s="365"/>
      <c r="HL55" s="365"/>
      <c r="HM55" s="365"/>
      <c r="HN55" s="365"/>
      <c r="HO55" s="365"/>
      <c r="HP55" s="365"/>
      <c r="HQ55" s="365"/>
      <c r="HR55" s="365"/>
      <c r="HS55" s="365"/>
      <c r="HT55" s="365"/>
      <c r="HU55" s="365"/>
      <c r="HV55" s="365"/>
      <c r="HW55" s="365"/>
      <c r="HX55" s="365"/>
      <c r="HY55" s="365"/>
    </row>
    <row r="56" spans="1:6" s="365" customFormat="1" ht="13.5" thickBot="1">
      <c r="A56" s="371"/>
      <c r="B56" s="127"/>
      <c r="C56" s="52"/>
      <c r="D56"/>
      <c r="E56" s="378"/>
      <c r="F56" s="378"/>
    </row>
    <row r="57" spans="1:6" s="365" customFormat="1" ht="12.75" customHeight="1" thickTop="1">
      <c r="A57" s="371"/>
      <c r="B57" s="248" t="s">
        <v>298</v>
      </c>
      <c r="C57" s="508"/>
      <c r="D57" s="25"/>
      <c r="E57" s="378"/>
      <c r="F57" s="378"/>
    </row>
    <row r="58" spans="1:4" s="365" customFormat="1" ht="12.75">
      <c r="A58" s="371"/>
      <c r="B58" s="78" t="s">
        <v>299</v>
      </c>
      <c r="C58" s="372"/>
      <c r="D58" s="25"/>
    </row>
    <row r="59" spans="1:233" ht="12.75">
      <c r="A59" s="371"/>
      <c r="B59" s="78" t="s">
        <v>300</v>
      </c>
      <c r="C59" s="46">
        <v>0.25</v>
      </c>
      <c r="E59" s="377"/>
      <c r="F59" s="377"/>
      <c r="G59" s="377"/>
      <c r="H59" s="377"/>
      <c r="I59" s="377"/>
      <c r="J59" s="378"/>
      <c r="K59" s="365"/>
      <c r="L59" s="365"/>
      <c r="M59" s="365"/>
      <c r="N59" s="365"/>
      <c r="O59" s="365"/>
      <c r="P59" s="365"/>
      <c r="Q59" s="365"/>
      <c r="R59" s="365"/>
      <c r="S59" s="365"/>
      <c r="T59" s="365"/>
      <c r="U59" s="365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365"/>
      <c r="AP59" s="365"/>
      <c r="AQ59" s="365"/>
      <c r="AR59" s="365"/>
      <c r="AS59" s="365"/>
      <c r="AT59" s="365"/>
      <c r="AU59" s="365"/>
      <c r="AV59" s="365"/>
      <c r="AW59" s="365"/>
      <c r="AX59" s="365"/>
      <c r="AY59" s="365"/>
      <c r="AZ59" s="365"/>
      <c r="BA59" s="365"/>
      <c r="BB59" s="365"/>
      <c r="BC59" s="365"/>
      <c r="BD59" s="365"/>
      <c r="BE59" s="365"/>
      <c r="BF59" s="365"/>
      <c r="BG59" s="365"/>
      <c r="BH59" s="365"/>
      <c r="BI59" s="365"/>
      <c r="BJ59" s="365"/>
      <c r="BK59" s="365"/>
      <c r="BL59" s="365"/>
      <c r="BM59" s="365"/>
      <c r="BN59" s="365"/>
      <c r="BO59" s="365"/>
      <c r="BP59" s="365"/>
      <c r="BQ59" s="365"/>
      <c r="BR59" s="365"/>
      <c r="BS59" s="365"/>
      <c r="BT59" s="365"/>
      <c r="BU59" s="365"/>
      <c r="BV59" s="365"/>
      <c r="BW59" s="365"/>
      <c r="BX59" s="365"/>
      <c r="BY59" s="365"/>
      <c r="BZ59" s="365"/>
      <c r="CA59" s="365"/>
      <c r="CB59" s="365"/>
      <c r="CC59" s="365"/>
      <c r="CD59" s="365"/>
      <c r="CE59" s="365"/>
      <c r="CF59" s="365"/>
      <c r="CG59" s="365"/>
      <c r="CH59" s="365"/>
      <c r="CI59" s="365"/>
      <c r="CJ59" s="365"/>
      <c r="CK59" s="365"/>
      <c r="CL59" s="365"/>
      <c r="CM59" s="365"/>
      <c r="CN59" s="365"/>
      <c r="CO59" s="365"/>
      <c r="CP59" s="365"/>
      <c r="CQ59" s="365"/>
      <c r="CR59" s="365"/>
      <c r="CS59" s="365"/>
      <c r="CT59" s="365"/>
      <c r="CU59" s="365"/>
      <c r="CV59" s="365"/>
      <c r="CW59" s="365"/>
      <c r="CX59" s="365"/>
      <c r="CY59" s="365"/>
      <c r="CZ59" s="365"/>
      <c r="DA59" s="365"/>
      <c r="DB59" s="365"/>
      <c r="DC59" s="365"/>
      <c r="DD59" s="365"/>
      <c r="DE59" s="365"/>
      <c r="DF59" s="365"/>
      <c r="DG59" s="365"/>
      <c r="DH59" s="365"/>
      <c r="DI59" s="365"/>
      <c r="DJ59" s="365"/>
      <c r="DK59" s="365"/>
      <c r="DL59" s="365"/>
      <c r="DM59" s="365"/>
      <c r="DN59" s="365"/>
      <c r="DO59" s="365"/>
      <c r="DP59" s="365"/>
      <c r="DQ59" s="365"/>
      <c r="DR59" s="365"/>
      <c r="DS59" s="365"/>
      <c r="DT59" s="365"/>
      <c r="DU59" s="365"/>
      <c r="DV59" s="365"/>
      <c r="DW59" s="365"/>
      <c r="DX59" s="365"/>
      <c r="DY59" s="365"/>
      <c r="DZ59" s="365"/>
      <c r="EA59" s="365"/>
      <c r="EB59" s="365"/>
      <c r="EC59" s="365"/>
      <c r="ED59" s="365"/>
      <c r="EE59" s="365"/>
      <c r="EF59" s="365"/>
      <c r="EG59" s="365"/>
      <c r="EH59" s="365"/>
      <c r="EI59" s="365"/>
      <c r="EJ59" s="365"/>
      <c r="EK59" s="365"/>
      <c r="EL59" s="365"/>
      <c r="EM59" s="365"/>
      <c r="EN59" s="365"/>
      <c r="EO59" s="365"/>
      <c r="EP59" s="365"/>
      <c r="EQ59" s="365"/>
      <c r="ER59" s="365"/>
      <c r="ES59" s="365"/>
      <c r="ET59" s="365"/>
      <c r="EU59" s="365"/>
      <c r="EV59" s="365"/>
      <c r="EW59" s="365"/>
      <c r="EX59" s="365"/>
      <c r="EY59" s="365"/>
      <c r="EZ59" s="365"/>
      <c r="FA59" s="365"/>
      <c r="FB59" s="365"/>
      <c r="FC59" s="365"/>
      <c r="FD59" s="365"/>
      <c r="FE59" s="365"/>
      <c r="FF59" s="365"/>
      <c r="FG59" s="365"/>
      <c r="FH59" s="365"/>
      <c r="FI59" s="365"/>
      <c r="FJ59" s="365"/>
      <c r="FK59" s="365"/>
      <c r="FL59" s="365"/>
      <c r="FM59" s="365"/>
      <c r="FN59" s="365"/>
      <c r="FO59" s="365"/>
      <c r="FP59" s="365"/>
      <c r="FQ59" s="365"/>
      <c r="FR59" s="365"/>
      <c r="FS59" s="365"/>
      <c r="FT59" s="365"/>
      <c r="FU59" s="365"/>
      <c r="FV59" s="365"/>
      <c r="FW59" s="365"/>
      <c r="FX59" s="365"/>
      <c r="FY59" s="365"/>
      <c r="FZ59" s="365"/>
      <c r="GA59" s="365"/>
      <c r="GB59" s="365"/>
      <c r="GC59" s="365"/>
      <c r="GD59" s="365"/>
      <c r="GE59" s="365"/>
      <c r="GF59" s="365"/>
      <c r="GG59" s="365"/>
      <c r="GH59" s="365"/>
      <c r="GI59" s="365"/>
      <c r="GJ59" s="365"/>
      <c r="GK59" s="365"/>
      <c r="GL59" s="365"/>
      <c r="GM59" s="365"/>
      <c r="GN59" s="365"/>
      <c r="GO59" s="365"/>
      <c r="GP59" s="365"/>
      <c r="GQ59" s="365"/>
      <c r="GR59" s="365"/>
      <c r="GS59" s="365"/>
      <c r="GT59" s="365"/>
      <c r="GU59" s="365"/>
      <c r="GV59" s="365"/>
      <c r="GW59" s="365"/>
      <c r="GX59" s="365"/>
      <c r="GY59" s="365"/>
      <c r="GZ59" s="365"/>
      <c r="HA59" s="365"/>
      <c r="HB59" s="365"/>
      <c r="HC59" s="365"/>
      <c r="HD59" s="365"/>
      <c r="HE59" s="365"/>
      <c r="HF59" s="365"/>
      <c r="HG59" s="365"/>
      <c r="HH59" s="365"/>
      <c r="HI59" s="365"/>
      <c r="HJ59" s="365"/>
      <c r="HK59" s="365"/>
      <c r="HL59" s="365"/>
      <c r="HM59" s="365"/>
      <c r="HN59" s="365"/>
      <c r="HO59" s="365"/>
      <c r="HP59" s="365"/>
      <c r="HQ59" s="365"/>
      <c r="HR59" s="365"/>
      <c r="HS59" s="365"/>
      <c r="HT59" s="365"/>
      <c r="HU59" s="365"/>
      <c r="HV59" s="365"/>
      <c r="HW59" s="365"/>
      <c r="HX59" s="365"/>
      <c r="HY59" s="365"/>
    </row>
    <row r="60" spans="2:233" ht="13.5" thickBot="1">
      <c r="B60" s="127"/>
      <c r="C60" s="509"/>
      <c r="E60" s="378"/>
      <c r="F60" s="378"/>
      <c r="G60" s="378"/>
      <c r="H60" s="378"/>
      <c r="I60" s="378"/>
      <c r="J60" s="378"/>
      <c r="K60" s="365"/>
      <c r="L60" s="365"/>
      <c r="M60" s="365"/>
      <c r="N60" s="365"/>
      <c r="O60" s="365"/>
      <c r="P60" s="365"/>
      <c r="Q60" s="365"/>
      <c r="R60" s="365"/>
      <c r="S60" s="365"/>
      <c r="T60" s="365"/>
      <c r="U60" s="365"/>
      <c r="V60" s="365"/>
      <c r="W60" s="365"/>
      <c r="X60" s="365"/>
      <c r="Y60" s="365"/>
      <c r="Z60" s="365"/>
      <c r="AA60" s="365"/>
      <c r="AB60" s="365"/>
      <c r="AC60" s="365"/>
      <c r="AD60" s="365"/>
      <c r="AE60" s="365"/>
      <c r="AF60" s="365"/>
      <c r="AG60" s="365"/>
      <c r="AH60" s="365"/>
      <c r="AI60" s="365"/>
      <c r="AJ60" s="365"/>
      <c r="AK60" s="365"/>
      <c r="AL60" s="365"/>
      <c r="AM60" s="365"/>
      <c r="AN60" s="365"/>
      <c r="AO60" s="365"/>
      <c r="AP60" s="365"/>
      <c r="AQ60" s="365"/>
      <c r="AR60" s="365"/>
      <c r="AS60" s="365"/>
      <c r="AT60" s="365"/>
      <c r="AU60" s="365"/>
      <c r="AV60" s="365"/>
      <c r="AW60" s="365"/>
      <c r="AX60" s="365"/>
      <c r="AY60" s="365"/>
      <c r="AZ60" s="365"/>
      <c r="BA60" s="365"/>
      <c r="BB60" s="365"/>
      <c r="BC60" s="365"/>
      <c r="BD60" s="365"/>
      <c r="BE60" s="365"/>
      <c r="BF60" s="365"/>
      <c r="BG60" s="365"/>
      <c r="BH60" s="365"/>
      <c r="BI60" s="365"/>
      <c r="BJ60" s="365"/>
      <c r="BK60" s="365"/>
      <c r="BL60" s="365"/>
      <c r="BM60" s="365"/>
      <c r="BN60" s="365"/>
      <c r="BO60" s="365"/>
      <c r="BP60" s="365"/>
      <c r="BQ60" s="365"/>
      <c r="BR60" s="365"/>
      <c r="BS60" s="365"/>
      <c r="BT60" s="365"/>
      <c r="BU60" s="365"/>
      <c r="BV60" s="365"/>
      <c r="BW60" s="365"/>
      <c r="BX60" s="365"/>
      <c r="BY60" s="365"/>
      <c r="BZ60" s="365"/>
      <c r="CA60" s="365"/>
      <c r="CB60" s="365"/>
      <c r="CC60" s="365"/>
      <c r="CD60" s="365"/>
      <c r="CE60" s="365"/>
      <c r="CF60" s="365"/>
      <c r="CG60" s="365"/>
      <c r="CH60" s="365"/>
      <c r="CI60" s="365"/>
      <c r="CJ60" s="365"/>
      <c r="CK60" s="365"/>
      <c r="CL60" s="365"/>
      <c r="CM60" s="365"/>
      <c r="CN60" s="365"/>
      <c r="CO60" s="365"/>
      <c r="CP60" s="365"/>
      <c r="CQ60" s="365"/>
      <c r="CR60" s="365"/>
      <c r="CS60" s="365"/>
      <c r="CT60" s="365"/>
      <c r="CU60" s="365"/>
      <c r="CV60" s="365"/>
      <c r="CW60" s="365"/>
      <c r="CX60" s="365"/>
      <c r="CY60" s="365"/>
      <c r="CZ60" s="365"/>
      <c r="DA60" s="365"/>
      <c r="DB60" s="365"/>
      <c r="DC60" s="365"/>
      <c r="DD60" s="365"/>
      <c r="DE60" s="365"/>
      <c r="DF60" s="365"/>
      <c r="DG60" s="365"/>
      <c r="DH60" s="365"/>
      <c r="DI60" s="365"/>
      <c r="DJ60" s="365"/>
      <c r="DK60" s="365"/>
      <c r="DL60" s="365"/>
      <c r="DM60" s="365"/>
      <c r="DN60" s="365"/>
      <c r="DO60" s="365"/>
      <c r="DP60" s="365"/>
      <c r="DQ60" s="365"/>
      <c r="DR60" s="365"/>
      <c r="DS60" s="365"/>
      <c r="DT60" s="365"/>
      <c r="DU60" s="365"/>
      <c r="DV60" s="365"/>
      <c r="DW60" s="365"/>
      <c r="DX60" s="365"/>
      <c r="DY60" s="365"/>
      <c r="DZ60" s="365"/>
      <c r="EA60" s="365"/>
      <c r="EB60" s="365"/>
      <c r="EC60" s="365"/>
      <c r="ED60" s="365"/>
      <c r="EE60" s="365"/>
      <c r="EF60" s="365"/>
      <c r="EG60" s="365"/>
      <c r="EH60" s="365"/>
      <c r="EI60" s="365"/>
      <c r="EJ60" s="365"/>
      <c r="EK60" s="365"/>
      <c r="EL60" s="365"/>
      <c r="EM60" s="365"/>
      <c r="EN60" s="365"/>
      <c r="EO60" s="365"/>
      <c r="EP60" s="365"/>
      <c r="EQ60" s="365"/>
      <c r="ER60" s="365"/>
      <c r="ES60" s="365"/>
      <c r="ET60" s="365"/>
      <c r="EU60" s="365"/>
      <c r="EV60" s="365"/>
      <c r="EW60" s="365"/>
      <c r="EX60" s="365"/>
      <c r="EY60" s="365"/>
      <c r="EZ60" s="365"/>
      <c r="FA60" s="365"/>
      <c r="FB60" s="365"/>
      <c r="FC60" s="365"/>
      <c r="FD60" s="365"/>
      <c r="FE60" s="365"/>
      <c r="FF60" s="365"/>
      <c r="FG60" s="365"/>
      <c r="FH60" s="365"/>
      <c r="FI60" s="365"/>
      <c r="FJ60" s="365"/>
      <c r="FK60" s="365"/>
      <c r="FL60" s="365"/>
      <c r="FM60" s="365"/>
      <c r="FN60" s="365"/>
      <c r="FO60" s="365"/>
      <c r="FP60" s="365"/>
      <c r="FQ60" s="365"/>
      <c r="FR60" s="365"/>
      <c r="FS60" s="365"/>
      <c r="FT60" s="365"/>
      <c r="FU60" s="365"/>
      <c r="FV60" s="365"/>
      <c r="FW60" s="365"/>
      <c r="FX60" s="365"/>
      <c r="FY60" s="365"/>
      <c r="FZ60" s="365"/>
      <c r="GA60" s="365"/>
      <c r="GB60" s="365"/>
      <c r="GC60" s="365"/>
      <c r="GD60" s="365"/>
      <c r="GE60" s="365"/>
      <c r="GF60" s="365"/>
      <c r="GG60" s="365"/>
      <c r="GH60" s="365"/>
      <c r="GI60" s="365"/>
      <c r="GJ60" s="365"/>
      <c r="GK60" s="365"/>
      <c r="GL60" s="365"/>
      <c r="GM60" s="365"/>
      <c r="GN60" s="365"/>
      <c r="GO60" s="365"/>
      <c r="GP60" s="365"/>
      <c r="GQ60" s="365"/>
      <c r="GR60" s="365"/>
      <c r="GS60" s="365"/>
      <c r="GT60" s="365"/>
      <c r="GU60" s="365"/>
      <c r="GV60" s="365"/>
      <c r="GW60" s="365"/>
      <c r="GX60" s="365"/>
      <c r="GY60" s="365"/>
      <c r="GZ60" s="365"/>
      <c r="HA60" s="365"/>
      <c r="HB60" s="365"/>
      <c r="HC60" s="365"/>
      <c r="HD60" s="365"/>
      <c r="HE60" s="365"/>
      <c r="HF60" s="365"/>
      <c r="HG60" s="365"/>
      <c r="HH60" s="365"/>
      <c r="HI60" s="365"/>
      <c r="HJ60" s="365"/>
      <c r="HK60" s="365"/>
      <c r="HL60" s="365"/>
      <c r="HM60" s="365"/>
      <c r="HN60" s="365"/>
      <c r="HO60" s="365"/>
      <c r="HP60" s="365"/>
      <c r="HQ60" s="365"/>
      <c r="HR60" s="365"/>
      <c r="HS60" s="365"/>
      <c r="HT60" s="365"/>
      <c r="HU60" s="365"/>
      <c r="HV60" s="365"/>
      <c r="HW60" s="365"/>
      <c r="HX60" s="365"/>
      <c r="HY60" s="365"/>
    </row>
    <row r="61" spans="1:233" ht="14.25" thickBot="1" thickTop="1">
      <c r="A61" s="371"/>
      <c r="E61" s="365"/>
      <c r="F61" s="365"/>
      <c r="G61" s="365"/>
      <c r="H61" s="365"/>
      <c r="I61" s="365"/>
      <c r="J61" s="365"/>
      <c r="K61" s="365"/>
      <c r="L61" s="365"/>
      <c r="M61" s="365"/>
      <c r="N61" s="365"/>
      <c r="O61" s="365"/>
      <c r="P61" s="365"/>
      <c r="Q61" s="365"/>
      <c r="R61" s="365"/>
      <c r="S61" s="365"/>
      <c r="T61" s="365"/>
      <c r="U61" s="365"/>
      <c r="V61" s="365"/>
      <c r="W61" s="365"/>
      <c r="X61" s="365"/>
      <c r="Y61" s="365"/>
      <c r="Z61" s="365"/>
      <c r="AA61" s="365"/>
      <c r="AB61" s="365"/>
      <c r="AC61" s="365"/>
      <c r="AD61" s="365"/>
      <c r="AE61" s="365"/>
      <c r="AF61" s="365"/>
      <c r="AG61" s="365"/>
      <c r="AH61" s="365"/>
      <c r="AI61" s="365"/>
      <c r="AJ61" s="365"/>
      <c r="AK61" s="365"/>
      <c r="AL61" s="365"/>
      <c r="AM61" s="365"/>
      <c r="AN61" s="365"/>
      <c r="AO61" s="365"/>
      <c r="AP61" s="365"/>
      <c r="AQ61" s="365"/>
      <c r="AR61" s="365"/>
      <c r="AS61" s="365"/>
      <c r="AT61" s="365"/>
      <c r="AU61" s="365"/>
      <c r="AV61" s="365"/>
      <c r="AW61" s="365"/>
      <c r="AX61" s="365"/>
      <c r="AY61" s="365"/>
      <c r="AZ61" s="365"/>
      <c r="BA61" s="365"/>
      <c r="BB61" s="365"/>
      <c r="BC61" s="365"/>
      <c r="BD61" s="365"/>
      <c r="BE61" s="365"/>
      <c r="BF61" s="365"/>
      <c r="BG61" s="365"/>
      <c r="BH61" s="365"/>
      <c r="BI61" s="365"/>
      <c r="BJ61" s="365"/>
      <c r="BK61" s="365"/>
      <c r="BL61" s="365"/>
      <c r="BM61" s="365"/>
      <c r="BN61" s="365"/>
      <c r="BO61" s="365"/>
      <c r="BP61" s="365"/>
      <c r="BQ61" s="365"/>
      <c r="BR61" s="365"/>
      <c r="BS61" s="365"/>
      <c r="BT61" s="365"/>
      <c r="BU61" s="365"/>
      <c r="BV61" s="365"/>
      <c r="BW61" s="365"/>
      <c r="BX61" s="365"/>
      <c r="BY61" s="365"/>
      <c r="BZ61" s="365"/>
      <c r="CA61" s="365"/>
      <c r="CB61" s="365"/>
      <c r="CC61" s="365"/>
      <c r="CD61" s="365"/>
      <c r="CE61" s="365"/>
      <c r="CF61" s="365"/>
      <c r="CG61" s="365"/>
      <c r="CH61" s="365"/>
      <c r="CI61" s="365"/>
      <c r="CJ61" s="365"/>
      <c r="CK61" s="365"/>
      <c r="CL61" s="365"/>
      <c r="CM61" s="365"/>
      <c r="CN61" s="365"/>
      <c r="CO61" s="365"/>
      <c r="CP61" s="365"/>
      <c r="CQ61" s="365"/>
      <c r="CR61" s="365"/>
      <c r="CS61" s="365"/>
      <c r="CT61" s="365"/>
      <c r="CU61" s="365"/>
      <c r="CV61" s="365"/>
      <c r="CW61" s="365"/>
      <c r="CX61" s="365"/>
      <c r="CY61" s="365"/>
      <c r="CZ61" s="365"/>
      <c r="DA61" s="365"/>
      <c r="DB61" s="365"/>
      <c r="DC61" s="365"/>
      <c r="DD61" s="365"/>
      <c r="DE61" s="365"/>
      <c r="DF61" s="365"/>
      <c r="DG61" s="365"/>
      <c r="DH61" s="365"/>
      <c r="DI61" s="365"/>
      <c r="DJ61" s="365"/>
      <c r="DK61" s="365"/>
      <c r="DL61" s="365"/>
      <c r="DM61" s="365"/>
      <c r="DN61" s="365"/>
      <c r="DO61" s="365"/>
      <c r="DP61" s="365"/>
      <c r="DQ61" s="365"/>
      <c r="DR61" s="365"/>
      <c r="DS61" s="365"/>
      <c r="DT61" s="365"/>
      <c r="DU61" s="365"/>
      <c r="DV61" s="365"/>
      <c r="DW61" s="365"/>
      <c r="DX61" s="365"/>
      <c r="DY61" s="365"/>
      <c r="DZ61" s="365"/>
      <c r="EA61" s="365"/>
      <c r="EB61" s="365"/>
      <c r="EC61" s="365"/>
      <c r="ED61" s="365"/>
      <c r="EE61" s="365"/>
      <c r="EF61" s="365"/>
      <c r="EG61" s="365"/>
      <c r="EH61" s="365"/>
      <c r="EI61" s="365"/>
      <c r="EJ61" s="365"/>
      <c r="EK61" s="365"/>
      <c r="EL61" s="365"/>
      <c r="EM61" s="365"/>
      <c r="EN61" s="365"/>
      <c r="EO61" s="365"/>
      <c r="EP61" s="365"/>
      <c r="EQ61" s="365"/>
      <c r="ER61" s="365"/>
      <c r="ES61" s="365"/>
      <c r="ET61" s="365"/>
      <c r="EU61" s="365"/>
      <c r="EV61" s="365"/>
      <c r="EW61" s="365"/>
      <c r="EX61" s="365"/>
      <c r="EY61" s="365"/>
      <c r="EZ61" s="365"/>
      <c r="FA61" s="365"/>
      <c r="FB61" s="365"/>
      <c r="FC61" s="365"/>
      <c r="FD61" s="365"/>
      <c r="FE61" s="365"/>
      <c r="FF61" s="365"/>
      <c r="FG61" s="365"/>
      <c r="FH61" s="365"/>
      <c r="FI61" s="365"/>
      <c r="FJ61" s="365"/>
      <c r="FK61" s="365"/>
      <c r="FL61" s="365"/>
      <c r="FM61" s="365"/>
      <c r="FN61" s="365"/>
      <c r="FO61" s="365"/>
      <c r="FP61" s="365"/>
      <c r="FQ61" s="365"/>
      <c r="FR61" s="365"/>
      <c r="FS61" s="365"/>
      <c r="FT61" s="365"/>
      <c r="FU61" s="365"/>
      <c r="FV61" s="365"/>
      <c r="FW61" s="365"/>
      <c r="FX61" s="365"/>
      <c r="FY61" s="365"/>
      <c r="FZ61" s="365"/>
      <c r="GA61" s="365"/>
      <c r="GB61" s="365"/>
      <c r="GC61" s="365"/>
      <c r="GD61" s="365"/>
      <c r="GE61" s="365"/>
      <c r="GF61" s="365"/>
      <c r="GG61" s="365"/>
      <c r="GH61" s="365"/>
      <c r="GI61" s="365"/>
      <c r="GJ61" s="365"/>
      <c r="GK61" s="365"/>
      <c r="GL61" s="365"/>
      <c r="GM61" s="365"/>
      <c r="GN61" s="365"/>
      <c r="GO61" s="365"/>
      <c r="GP61" s="365"/>
      <c r="GQ61" s="365"/>
      <c r="GR61" s="365"/>
      <c r="GS61" s="365"/>
      <c r="GT61" s="365"/>
      <c r="GU61" s="365"/>
      <c r="GV61" s="365"/>
      <c r="GW61" s="365"/>
      <c r="GX61" s="365"/>
      <c r="GY61" s="365"/>
      <c r="GZ61" s="365"/>
      <c r="HA61" s="365"/>
      <c r="HB61" s="365"/>
      <c r="HC61" s="365"/>
      <c r="HD61" s="365"/>
      <c r="HE61" s="365"/>
      <c r="HF61" s="365"/>
      <c r="HG61" s="365"/>
      <c r="HH61" s="365"/>
      <c r="HI61" s="365"/>
      <c r="HJ61" s="365"/>
      <c r="HK61" s="365"/>
      <c r="HL61" s="365"/>
      <c r="HM61" s="365"/>
      <c r="HN61" s="365"/>
      <c r="HO61" s="365"/>
      <c r="HP61" s="365"/>
      <c r="HQ61" s="365"/>
      <c r="HR61" s="365"/>
      <c r="HS61" s="365"/>
      <c r="HT61" s="365"/>
      <c r="HU61" s="365"/>
      <c r="HV61" s="365"/>
      <c r="HW61" s="365"/>
      <c r="HX61" s="365"/>
      <c r="HY61" s="365"/>
    </row>
    <row r="62" spans="1:4" s="365" customFormat="1" ht="21.75" thickBot="1" thickTop="1">
      <c r="A62" s="378"/>
      <c r="B62" s="26" t="s">
        <v>238</v>
      </c>
      <c r="C62" s="510"/>
      <c r="D62" s="511"/>
    </row>
    <row r="63" spans="1:4" s="365" customFormat="1" ht="12.75">
      <c r="A63" s="378"/>
      <c r="B63" s="41"/>
      <c r="C63" s="303"/>
      <c r="D63" s="20"/>
    </row>
    <row r="64" spans="1:4" s="365" customFormat="1" ht="12.75">
      <c r="A64" s="378"/>
      <c r="B64" s="78" t="s">
        <v>301</v>
      </c>
      <c r="C64" s="70">
        <v>0.3</v>
      </c>
      <c r="D64"/>
    </row>
    <row r="65" spans="1:4" s="365" customFormat="1" ht="12.75">
      <c r="A65" s="378"/>
      <c r="B65" s="78" t="s">
        <v>302</v>
      </c>
      <c r="C65" s="70">
        <v>0.25</v>
      </c>
      <c r="D65"/>
    </row>
    <row r="66" spans="1:4" s="365" customFormat="1" ht="12.75">
      <c r="A66" s="378"/>
      <c r="B66" s="78" t="s">
        <v>299</v>
      </c>
      <c r="C66" s="46">
        <v>1</v>
      </c>
      <c r="D66"/>
    </row>
    <row r="67" spans="1:4" s="365" customFormat="1" ht="13.5" thickBot="1">
      <c r="A67" s="378"/>
      <c r="B67" s="80" t="s">
        <v>300</v>
      </c>
      <c r="C67" s="373"/>
      <c r="D67"/>
    </row>
    <row r="68" s="365" customFormat="1" ht="14.25" thickBot="1" thickTop="1">
      <c r="K68" s="377"/>
    </row>
    <row r="69" spans="1:233" ht="21.75" thickBot="1" thickTop="1">
      <c r="A69" s="365"/>
      <c r="B69" s="435" t="s">
        <v>127</v>
      </c>
      <c r="C69" s="455"/>
      <c r="D69" s="455"/>
      <c r="E69" s="455"/>
      <c r="F69" s="455"/>
      <c r="G69" s="443"/>
      <c r="H69" s="431"/>
      <c r="I69" s="377"/>
      <c r="J69" s="377"/>
      <c r="K69" s="365"/>
      <c r="L69" s="365"/>
      <c r="M69" s="365"/>
      <c r="N69" s="365"/>
      <c r="O69" s="365"/>
      <c r="P69" s="365"/>
      <c r="Q69" s="365"/>
      <c r="R69" s="365"/>
      <c r="S69" s="365"/>
      <c r="T69" s="365"/>
      <c r="U69" s="365"/>
      <c r="V69" s="365"/>
      <c r="W69" s="365"/>
      <c r="X69" s="365"/>
      <c r="Y69" s="365"/>
      <c r="Z69" s="365"/>
      <c r="AA69" s="365"/>
      <c r="AB69" s="365"/>
      <c r="AC69" s="365"/>
      <c r="AD69" s="365"/>
      <c r="AE69" s="365"/>
      <c r="AF69" s="365"/>
      <c r="AG69" s="365"/>
      <c r="AH69" s="365"/>
      <c r="AI69" s="365"/>
      <c r="AJ69" s="365"/>
      <c r="AK69" s="365"/>
      <c r="AL69" s="365"/>
      <c r="AM69" s="365"/>
      <c r="AN69" s="365"/>
      <c r="AO69" s="365"/>
      <c r="AP69" s="365"/>
      <c r="AQ69" s="365"/>
      <c r="AR69" s="365"/>
      <c r="AS69" s="365"/>
      <c r="AT69" s="365"/>
      <c r="AU69" s="365"/>
      <c r="AV69" s="365"/>
      <c r="AW69" s="365"/>
      <c r="AX69" s="365"/>
      <c r="AY69" s="365"/>
      <c r="AZ69" s="365"/>
      <c r="BA69" s="365"/>
      <c r="BB69" s="365"/>
      <c r="BC69" s="365"/>
      <c r="BD69" s="365"/>
      <c r="BE69" s="365"/>
      <c r="BF69" s="365"/>
      <c r="BG69" s="365"/>
      <c r="BH69" s="365"/>
      <c r="BI69" s="365"/>
      <c r="BJ69" s="365"/>
      <c r="BK69" s="365"/>
      <c r="BL69" s="365"/>
      <c r="BM69" s="365"/>
      <c r="BN69" s="365"/>
      <c r="BO69" s="365"/>
      <c r="BP69" s="365"/>
      <c r="BQ69" s="365"/>
      <c r="BR69" s="365"/>
      <c r="BS69" s="365"/>
      <c r="BT69" s="365"/>
      <c r="BU69" s="365"/>
      <c r="BV69" s="365"/>
      <c r="BW69" s="365"/>
      <c r="BX69" s="365"/>
      <c r="BY69" s="365"/>
      <c r="BZ69" s="365"/>
      <c r="CA69" s="365"/>
      <c r="CB69" s="365"/>
      <c r="CC69" s="365"/>
      <c r="CD69" s="365"/>
      <c r="CE69" s="365"/>
      <c r="CF69" s="365"/>
      <c r="CG69" s="365"/>
      <c r="CH69" s="365"/>
      <c r="CI69" s="365"/>
      <c r="CJ69" s="365"/>
      <c r="CK69" s="365"/>
      <c r="CL69" s="365"/>
      <c r="CM69" s="365"/>
      <c r="CN69" s="365"/>
      <c r="CO69" s="365"/>
      <c r="CP69" s="365"/>
      <c r="CQ69" s="365"/>
      <c r="CR69" s="365"/>
      <c r="CS69" s="365"/>
      <c r="CT69" s="365"/>
      <c r="CU69" s="365"/>
      <c r="CV69" s="365"/>
      <c r="CW69" s="365"/>
      <c r="CX69" s="365"/>
      <c r="CY69" s="365"/>
      <c r="CZ69" s="365"/>
      <c r="DA69" s="365"/>
      <c r="DB69" s="365"/>
      <c r="DC69" s="365"/>
      <c r="DD69" s="365"/>
      <c r="DE69" s="365"/>
      <c r="DF69" s="365"/>
      <c r="DG69" s="365"/>
      <c r="DH69" s="365"/>
      <c r="DI69" s="365"/>
      <c r="DJ69" s="365"/>
      <c r="DK69" s="365"/>
      <c r="DL69" s="365"/>
      <c r="DM69" s="365"/>
      <c r="DN69" s="365"/>
      <c r="DO69" s="365"/>
      <c r="DP69" s="365"/>
      <c r="DQ69" s="365"/>
      <c r="DR69" s="365"/>
      <c r="DS69" s="365"/>
      <c r="DT69" s="365"/>
      <c r="DU69" s="365"/>
      <c r="DV69" s="365"/>
      <c r="DW69" s="365"/>
      <c r="DX69" s="365"/>
      <c r="DY69" s="365"/>
      <c r="DZ69" s="365"/>
      <c r="EA69" s="365"/>
      <c r="EB69" s="365"/>
      <c r="EC69" s="365"/>
      <c r="ED69" s="365"/>
      <c r="EE69" s="365"/>
      <c r="EF69" s="365"/>
      <c r="EG69" s="365"/>
      <c r="EH69" s="365"/>
      <c r="EI69" s="365"/>
      <c r="EJ69" s="365"/>
      <c r="EK69" s="365"/>
      <c r="EL69" s="365"/>
      <c r="EM69" s="365"/>
      <c r="EN69" s="365"/>
      <c r="EO69" s="365"/>
      <c r="EP69" s="365"/>
      <c r="EQ69" s="365"/>
      <c r="ER69" s="365"/>
      <c r="ES69" s="365"/>
      <c r="ET69" s="365"/>
      <c r="EU69" s="365"/>
      <c r="EV69" s="365"/>
      <c r="EW69" s="365"/>
      <c r="EX69" s="365"/>
      <c r="EY69" s="365"/>
      <c r="EZ69" s="365"/>
      <c r="FA69" s="365"/>
      <c r="FB69" s="365"/>
      <c r="FC69" s="365"/>
      <c r="FD69" s="365"/>
      <c r="FE69" s="365"/>
      <c r="FF69" s="365"/>
      <c r="FG69" s="365"/>
      <c r="FH69" s="365"/>
      <c r="FI69" s="365"/>
      <c r="FJ69" s="365"/>
      <c r="FK69" s="365"/>
      <c r="FL69" s="365"/>
      <c r="FM69" s="365"/>
      <c r="FN69" s="365"/>
      <c r="FO69" s="365"/>
      <c r="FP69" s="365"/>
      <c r="FQ69" s="365"/>
      <c r="FR69" s="365"/>
      <c r="FS69" s="365"/>
      <c r="FT69" s="365"/>
      <c r="FU69" s="365"/>
      <c r="FV69" s="365"/>
      <c r="FW69" s="365"/>
      <c r="FX69" s="365"/>
      <c r="FY69" s="365"/>
      <c r="FZ69" s="365"/>
      <c r="GA69" s="365"/>
      <c r="GB69" s="365"/>
      <c r="GC69" s="365"/>
      <c r="GD69" s="365"/>
      <c r="GE69" s="365"/>
      <c r="GF69" s="365"/>
      <c r="GG69" s="365"/>
      <c r="GH69" s="365"/>
      <c r="GI69" s="365"/>
      <c r="GJ69" s="365"/>
      <c r="GK69" s="365"/>
      <c r="GL69" s="365"/>
      <c r="GM69" s="365"/>
      <c r="GN69" s="365"/>
      <c r="GO69" s="365"/>
      <c r="GP69" s="365"/>
      <c r="GQ69" s="365"/>
      <c r="GR69" s="365"/>
      <c r="GS69" s="365"/>
      <c r="GT69" s="365"/>
      <c r="GU69" s="365"/>
      <c r="GV69" s="365"/>
      <c r="GW69" s="365"/>
      <c r="GX69" s="365"/>
      <c r="GY69" s="365"/>
      <c r="GZ69" s="365"/>
      <c r="HA69" s="365"/>
      <c r="HB69" s="365"/>
      <c r="HC69" s="365"/>
      <c r="HD69" s="365"/>
      <c r="HE69" s="365"/>
      <c r="HF69" s="365"/>
      <c r="HG69" s="365"/>
      <c r="HH69" s="365"/>
      <c r="HI69" s="365"/>
      <c r="HJ69" s="365"/>
      <c r="HK69" s="365"/>
      <c r="HL69" s="365"/>
      <c r="HM69" s="365"/>
      <c r="HN69" s="365"/>
      <c r="HO69" s="365"/>
      <c r="HP69" s="365"/>
      <c r="HQ69" s="365"/>
      <c r="HR69" s="365"/>
      <c r="HS69" s="365"/>
      <c r="HT69" s="365"/>
      <c r="HU69" s="365"/>
      <c r="HV69" s="365"/>
      <c r="HW69" s="365"/>
      <c r="HX69" s="365"/>
      <c r="HY69" s="365"/>
    </row>
    <row r="70" spans="1:233" ht="12.75">
      <c r="A70" s="365"/>
      <c r="B70" s="41"/>
      <c r="C70" s="95" t="s">
        <v>153</v>
      </c>
      <c r="D70" s="42"/>
      <c r="E70" s="42" t="s">
        <v>129</v>
      </c>
      <c r="F70" s="42"/>
      <c r="G70" s="303"/>
      <c r="H70" s="431"/>
      <c r="I70" s="365"/>
      <c r="J70" s="365"/>
      <c r="K70" s="365"/>
      <c r="L70" s="365"/>
      <c r="M70" s="365"/>
      <c r="N70" s="365"/>
      <c r="O70" s="365"/>
      <c r="P70" s="365"/>
      <c r="Q70" s="365"/>
      <c r="R70" s="365"/>
      <c r="S70" s="365"/>
      <c r="T70" s="365"/>
      <c r="U70" s="365"/>
      <c r="V70" s="365"/>
      <c r="W70" s="365"/>
      <c r="X70" s="365"/>
      <c r="Y70" s="365"/>
      <c r="Z70" s="365"/>
      <c r="AA70" s="365"/>
      <c r="AB70" s="365"/>
      <c r="AC70" s="365"/>
      <c r="AD70" s="365"/>
      <c r="AE70" s="365"/>
      <c r="AF70" s="365"/>
      <c r="AG70" s="365"/>
      <c r="AH70" s="365"/>
      <c r="AI70" s="365"/>
      <c r="AJ70" s="365"/>
      <c r="AK70" s="365"/>
      <c r="AL70" s="365"/>
      <c r="AM70" s="365"/>
      <c r="AN70" s="365"/>
      <c r="AO70" s="365"/>
      <c r="AP70" s="365"/>
      <c r="AQ70" s="365"/>
      <c r="AR70" s="365"/>
      <c r="AS70" s="365"/>
      <c r="AT70" s="365"/>
      <c r="AU70" s="365"/>
      <c r="AV70" s="365"/>
      <c r="AW70" s="365"/>
      <c r="AX70" s="365"/>
      <c r="AY70" s="365"/>
      <c r="AZ70" s="365"/>
      <c r="BA70" s="365"/>
      <c r="BB70" s="365"/>
      <c r="BC70" s="365"/>
      <c r="BD70" s="365"/>
      <c r="BE70" s="365"/>
      <c r="BF70" s="365"/>
      <c r="BG70" s="365"/>
      <c r="BH70" s="365"/>
      <c r="BI70" s="365"/>
      <c r="BJ70" s="365"/>
      <c r="BK70" s="365"/>
      <c r="BL70" s="365"/>
      <c r="BM70" s="365"/>
      <c r="BN70" s="365"/>
      <c r="BO70" s="365"/>
      <c r="BP70" s="365"/>
      <c r="BQ70" s="365"/>
      <c r="BR70" s="365"/>
      <c r="BS70" s="365"/>
      <c r="BT70" s="365"/>
      <c r="BU70" s="365"/>
      <c r="BV70" s="365"/>
      <c r="BW70" s="365"/>
      <c r="BX70" s="365"/>
      <c r="BY70" s="365"/>
      <c r="BZ70" s="365"/>
      <c r="CA70" s="365"/>
      <c r="CB70" s="365"/>
      <c r="CC70" s="365"/>
      <c r="CD70" s="365"/>
      <c r="CE70" s="365"/>
      <c r="CF70" s="365"/>
      <c r="CG70" s="365"/>
      <c r="CH70" s="365"/>
      <c r="CI70" s="365"/>
      <c r="CJ70" s="365"/>
      <c r="CK70" s="365"/>
      <c r="CL70" s="365"/>
      <c r="CM70" s="365"/>
      <c r="CN70" s="365"/>
      <c r="CO70" s="365"/>
      <c r="CP70" s="365"/>
      <c r="CQ70" s="365"/>
      <c r="CR70" s="365"/>
      <c r="CS70" s="365"/>
      <c r="CT70" s="365"/>
      <c r="CU70" s="365"/>
      <c r="CV70" s="365"/>
      <c r="CW70" s="365"/>
      <c r="CX70" s="365"/>
      <c r="CY70" s="365"/>
      <c r="CZ70" s="365"/>
      <c r="DA70" s="365"/>
      <c r="DB70" s="365"/>
      <c r="DC70" s="365"/>
      <c r="DD70" s="365"/>
      <c r="DE70" s="365"/>
      <c r="DF70" s="365"/>
      <c r="DG70" s="365"/>
      <c r="DH70" s="365"/>
      <c r="DI70" s="365"/>
      <c r="DJ70" s="365"/>
      <c r="DK70" s="365"/>
      <c r="DL70" s="365"/>
      <c r="DM70" s="365"/>
      <c r="DN70" s="365"/>
      <c r="DO70" s="365"/>
      <c r="DP70" s="365"/>
      <c r="DQ70" s="365"/>
      <c r="DR70" s="365"/>
      <c r="DS70" s="365"/>
      <c r="DT70" s="365"/>
      <c r="DU70" s="365"/>
      <c r="DV70" s="365"/>
      <c r="DW70" s="365"/>
      <c r="DX70" s="365"/>
      <c r="DY70" s="365"/>
      <c r="DZ70" s="365"/>
      <c r="EA70" s="365"/>
      <c r="EB70" s="365"/>
      <c r="EC70" s="365"/>
      <c r="ED70" s="365"/>
      <c r="EE70" s="365"/>
      <c r="EF70" s="365"/>
      <c r="EG70" s="365"/>
      <c r="EH70" s="365"/>
      <c r="EI70" s="365"/>
      <c r="EJ70" s="365"/>
      <c r="EK70" s="365"/>
      <c r="EL70" s="365"/>
      <c r="EM70" s="365"/>
      <c r="EN70" s="365"/>
      <c r="EO70" s="365"/>
      <c r="EP70" s="365"/>
      <c r="EQ70" s="365"/>
      <c r="ER70" s="365"/>
      <c r="ES70" s="365"/>
      <c r="ET70" s="365"/>
      <c r="EU70" s="365"/>
      <c r="EV70" s="365"/>
      <c r="EW70" s="365"/>
      <c r="EX70" s="365"/>
      <c r="EY70" s="365"/>
      <c r="EZ70" s="365"/>
      <c r="FA70" s="365"/>
      <c r="FB70" s="365"/>
      <c r="FC70" s="365"/>
      <c r="FD70" s="365"/>
      <c r="FE70" s="365"/>
      <c r="FF70" s="365"/>
      <c r="FG70" s="365"/>
      <c r="FH70" s="365"/>
      <c r="FI70" s="365"/>
      <c r="FJ70" s="365"/>
      <c r="FK70" s="365"/>
      <c r="FL70" s="365"/>
      <c r="FM70" s="365"/>
      <c r="FN70" s="365"/>
      <c r="FO70" s="365"/>
      <c r="FP70" s="365"/>
      <c r="FQ70" s="365"/>
      <c r="FR70" s="365"/>
      <c r="FS70" s="365"/>
      <c r="FT70" s="365"/>
      <c r="FU70" s="365"/>
      <c r="FV70" s="365"/>
      <c r="FW70" s="365"/>
      <c r="FX70" s="365"/>
      <c r="FY70" s="365"/>
      <c r="FZ70" s="365"/>
      <c r="GA70" s="365"/>
      <c r="GB70" s="365"/>
      <c r="GC70" s="365"/>
      <c r="GD70" s="365"/>
      <c r="GE70" s="365"/>
      <c r="GF70" s="365"/>
      <c r="GG70" s="365"/>
      <c r="GH70" s="365"/>
      <c r="GI70" s="365"/>
      <c r="GJ70" s="365"/>
      <c r="GK70" s="365"/>
      <c r="GL70" s="365"/>
      <c r="GM70" s="365"/>
      <c r="GN70" s="365"/>
      <c r="GO70" s="365"/>
      <c r="GP70" s="365"/>
      <c r="GQ70" s="365"/>
      <c r="GR70" s="365"/>
      <c r="GS70" s="365"/>
      <c r="GT70" s="365"/>
      <c r="GU70" s="365"/>
      <c r="GV70" s="365"/>
      <c r="GW70" s="365"/>
      <c r="GX70" s="365"/>
      <c r="GY70" s="365"/>
      <c r="GZ70" s="365"/>
      <c r="HA70" s="365"/>
      <c r="HB70" s="365"/>
      <c r="HC70" s="365"/>
      <c r="HD70" s="365"/>
      <c r="HE70" s="365"/>
      <c r="HF70" s="365"/>
      <c r="HG70" s="365"/>
      <c r="HH70" s="365"/>
      <c r="HI70" s="365"/>
      <c r="HJ70" s="365"/>
      <c r="HK70" s="365"/>
      <c r="HL70" s="365"/>
      <c r="HM70" s="365"/>
      <c r="HN70" s="365"/>
      <c r="HO70" s="365"/>
      <c r="HP70" s="365"/>
      <c r="HQ70" s="365"/>
      <c r="HR70" s="365"/>
      <c r="HS70" s="365"/>
      <c r="HT70" s="365"/>
      <c r="HU70" s="365"/>
      <c r="HV70" s="365"/>
      <c r="HW70" s="365"/>
      <c r="HX70" s="365"/>
      <c r="HY70" s="365"/>
    </row>
    <row r="71" spans="1:233" ht="12.75">
      <c r="A71" s="365"/>
      <c r="B71" s="78"/>
      <c r="C71" s="85" t="s">
        <v>26</v>
      </c>
      <c r="D71" s="85"/>
      <c r="E71" s="85"/>
      <c r="F71" s="85"/>
      <c r="G71" s="346"/>
      <c r="H71" s="431"/>
      <c r="I71" s="365"/>
      <c r="J71" s="365"/>
      <c r="K71" s="365"/>
      <c r="L71" s="365"/>
      <c r="M71" s="365"/>
      <c r="N71" s="365"/>
      <c r="O71" s="365"/>
      <c r="P71" s="365"/>
      <c r="Q71" s="365"/>
      <c r="R71" s="365"/>
      <c r="S71" s="365"/>
      <c r="T71" s="365"/>
      <c r="U71" s="365"/>
      <c r="V71" s="365"/>
      <c r="W71" s="365"/>
      <c r="X71" s="365"/>
      <c r="Y71" s="365"/>
      <c r="Z71" s="365"/>
      <c r="AA71" s="365"/>
      <c r="AB71" s="365"/>
      <c r="AC71" s="365"/>
      <c r="AD71" s="365"/>
      <c r="AE71" s="365"/>
      <c r="AF71" s="365"/>
      <c r="AG71" s="365"/>
      <c r="AH71" s="365"/>
      <c r="AI71" s="365"/>
      <c r="AJ71" s="365"/>
      <c r="AK71" s="365"/>
      <c r="AL71" s="365"/>
      <c r="AM71" s="365"/>
      <c r="AN71" s="365"/>
      <c r="AO71" s="365"/>
      <c r="AP71" s="365"/>
      <c r="AQ71" s="365"/>
      <c r="AR71" s="365"/>
      <c r="AS71" s="365"/>
      <c r="AT71" s="365"/>
      <c r="AU71" s="365"/>
      <c r="AV71" s="365"/>
      <c r="AW71" s="365"/>
      <c r="AX71" s="365"/>
      <c r="AY71" s="365"/>
      <c r="AZ71" s="365"/>
      <c r="BA71" s="365"/>
      <c r="BB71" s="365"/>
      <c r="BC71" s="365"/>
      <c r="BD71" s="365"/>
      <c r="BE71" s="365"/>
      <c r="BF71" s="365"/>
      <c r="BG71" s="365"/>
      <c r="BH71" s="365"/>
      <c r="BI71" s="365"/>
      <c r="BJ71" s="365"/>
      <c r="BK71" s="365"/>
      <c r="BL71" s="365"/>
      <c r="BM71" s="365"/>
      <c r="BN71" s="365"/>
      <c r="BO71" s="365"/>
      <c r="BP71" s="365"/>
      <c r="BQ71" s="365"/>
      <c r="BR71" s="365"/>
      <c r="BS71" s="365"/>
      <c r="BT71" s="365"/>
      <c r="BU71" s="365"/>
      <c r="BV71" s="365"/>
      <c r="BW71" s="365"/>
      <c r="BX71" s="365"/>
      <c r="BY71" s="365"/>
      <c r="BZ71" s="365"/>
      <c r="CA71" s="365"/>
      <c r="CB71" s="365"/>
      <c r="CC71" s="365"/>
      <c r="CD71" s="365"/>
      <c r="CE71" s="365"/>
      <c r="CF71" s="365"/>
      <c r="CG71" s="365"/>
      <c r="CH71" s="365"/>
      <c r="CI71" s="365"/>
      <c r="CJ71" s="365"/>
      <c r="CK71" s="365"/>
      <c r="CL71" s="365"/>
      <c r="CM71" s="365"/>
      <c r="CN71" s="365"/>
      <c r="CO71" s="365"/>
      <c r="CP71" s="365"/>
      <c r="CQ71" s="365"/>
      <c r="CR71" s="365"/>
      <c r="CS71" s="365"/>
      <c r="CT71" s="365"/>
      <c r="CU71" s="365"/>
      <c r="CV71" s="365"/>
      <c r="CW71" s="365"/>
      <c r="CX71" s="365"/>
      <c r="CY71" s="365"/>
      <c r="CZ71" s="365"/>
      <c r="DA71" s="365"/>
      <c r="DB71" s="365"/>
      <c r="DC71" s="365"/>
      <c r="DD71" s="365"/>
      <c r="DE71" s="365"/>
      <c r="DF71" s="365"/>
      <c r="DG71" s="365"/>
      <c r="DH71" s="365"/>
      <c r="DI71" s="365"/>
      <c r="DJ71" s="365"/>
      <c r="DK71" s="365"/>
      <c r="DL71" s="365"/>
      <c r="DM71" s="365"/>
      <c r="DN71" s="365"/>
      <c r="DO71" s="365"/>
      <c r="DP71" s="365"/>
      <c r="DQ71" s="365"/>
      <c r="DR71" s="365"/>
      <c r="DS71" s="365"/>
      <c r="DT71" s="365"/>
      <c r="DU71" s="365"/>
      <c r="DV71" s="365"/>
      <c r="DW71" s="365"/>
      <c r="DX71" s="365"/>
      <c r="DY71" s="365"/>
      <c r="DZ71" s="365"/>
      <c r="EA71" s="365"/>
      <c r="EB71" s="365"/>
      <c r="EC71" s="365"/>
      <c r="ED71" s="365"/>
      <c r="EE71" s="365"/>
      <c r="EF71" s="365"/>
      <c r="EG71" s="365"/>
      <c r="EH71" s="365"/>
      <c r="EI71" s="365"/>
      <c r="EJ71" s="365"/>
      <c r="EK71" s="365"/>
      <c r="EL71" s="365"/>
      <c r="EM71" s="365"/>
      <c r="EN71" s="365"/>
      <c r="EO71" s="365"/>
      <c r="EP71" s="365"/>
      <c r="EQ71" s="365"/>
      <c r="ER71" s="365"/>
      <c r="ES71" s="365"/>
      <c r="ET71" s="365"/>
      <c r="EU71" s="365"/>
      <c r="EV71" s="365"/>
      <c r="EW71" s="365"/>
      <c r="EX71" s="365"/>
      <c r="EY71" s="365"/>
      <c r="EZ71" s="365"/>
      <c r="FA71" s="365"/>
      <c r="FB71" s="365"/>
      <c r="FC71" s="365"/>
      <c r="FD71" s="365"/>
      <c r="FE71" s="365"/>
      <c r="FF71" s="365"/>
      <c r="FG71" s="365"/>
      <c r="FH71" s="365"/>
      <c r="FI71" s="365"/>
      <c r="FJ71" s="365"/>
      <c r="FK71" s="365"/>
      <c r="FL71" s="365"/>
      <c r="FM71" s="365"/>
      <c r="FN71" s="365"/>
      <c r="FO71" s="365"/>
      <c r="FP71" s="365"/>
      <c r="FQ71" s="365"/>
      <c r="FR71" s="365"/>
      <c r="FS71" s="365"/>
      <c r="FT71" s="365"/>
      <c r="FU71" s="365"/>
      <c r="FV71" s="365"/>
      <c r="FW71" s="365"/>
      <c r="FX71" s="365"/>
      <c r="FY71" s="365"/>
      <c r="FZ71" s="365"/>
      <c r="GA71" s="365"/>
      <c r="GB71" s="365"/>
      <c r="GC71" s="365"/>
      <c r="GD71" s="365"/>
      <c r="GE71" s="365"/>
      <c r="GF71" s="365"/>
      <c r="GG71" s="365"/>
      <c r="GH71" s="365"/>
      <c r="GI71" s="365"/>
      <c r="GJ71" s="365"/>
      <c r="GK71" s="365"/>
      <c r="GL71" s="365"/>
      <c r="GM71" s="365"/>
      <c r="GN71" s="365"/>
      <c r="GO71" s="365"/>
      <c r="GP71" s="365"/>
      <c r="GQ71" s="365"/>
      <c r="GR71" s="365"/>
      <c r="GS71" s="365"/>
      <c r="GT71" s="365"/>
      <c r="GU71" s="365"/>
      <c r="GV71" s="365"/>
      <c r="GW71" s="365"/>
      <c r="GX71" s="365"/>
      <c r="GY71" s="365"/>
      <c r="GZ71" s="365"/>
      <c r="HA71" s="365"/>
      <c r="HB71" s="365"/>
      <c r="HC71" s="365"/>
      <c r="HD71" s="365"/>
      <c r="HE71" s="365"/>
      <c r="HF71" s="365"/>
      <c r="HG71" s="365"/>
      <c r="HH71" s="365"/>
      <c r="HI71" s="365"/>
      <c r="HJ71" s="365"/>
      <c r="HK71" s="365"/>
      <c r="HL71" s="365"/>
      <c r="HM71" s="365"/>
      <c r="HN71" s="365"/>
      <c r="HO71" s="365"/>
      <c r="HP71" s="365"/>
      <c r="HQ71" s="365"/>
      <c r="HR71" s="365"/>
      <c r="HS71" s="365"/>
      <c r="HT71" s="365"/>
      <c r="HU71" s="365"/>
      <c r="HV71" s="365"/>
      <c r="HW71" s="365"/>
      <c r="HX71" s="365"/>
      <c r="HY71" s="365"/>
    </row>
    <row r="72" spans="1:233" ht="12.75">
      <c r="A72" s="365"/>
      <c r="B72" s="78" t="s">
        <v>128</v>
      </c>
      <c r="C72" s="85"/>
      <c r="D72" s="85" t="s">
        <v>4</v>
      </c>
      <c r="E72" s="85" t="s">
        <v>5</v>
      </c>
      <c r="F72" s="85" t="s">
        <v>6</v>
      </c>
      <c r="G72" s="97" t="s">
        <v>130</v>
      </c>
      <c r="H72" s="431"/>
      <c r="I72" s="365"/>
      <c r="J72" s="365"/>
      <c r="K72" s="365"/>
      <c r="L72" s="365"/>
      <c r="M72" s="365"/>
      <c r="N72" s="365"/>
      <c r="O72" s="365"/>
      <c r="P72" s="365"/>
      <c r="Q72" s="365"/>
      <c r="R72" s="365"/>
      <c r="S72" s="365"/>
      <c r="T72" s="365"/>
      <c r="U72" s="365"/>
      <c r="V72" s="365"/>
      <c r="W72" s="365"/>
      <c r="X72" s="365"/>
      <c r="Y72" s="365"/>
      <c r="Z72" s="365"/>
      <c r="AA72" s="365"/>
      <c r="AB72" s="365"/>
      <c r="AC72" s="365"/>
      <c r="AD72" s="365"/>
      <c r="AE72" s="365"/>
      <c r="AF72" s="365"/>
      <c r="AG72" s="365"/>
      <c r="AH72" s="365"/>
      <c r="AI72" s="365"/>
      <c r="AJ72" s="365"/>
      <c r="AK72" s="365"/>
      <c r="AL72" s="365"/>
      <c r="AM72" s="365"/>
      <c r="AN72" s="365"/>
      <c r="AO72" s="365"/>
      <c r="AP72" s="365"/>
      <c r="AQ72" s="365"/>
      <c r="AR72" s="365"/>
      <c r="AS72" s="365"/>
      <c r="AT72" s="365"/>
      <c r="AU72" s="365"/>
      <c r="AV72" s="365"/>
      <c r="AW72" s="365"/>
      <c r="AX72" s="365"/>
      <c r="AY72" s="365"/>
      <c r="AZ72" s="365"/>
      <c r="BA72" s="365"/>
      <c r="BB72" s="365"/>
      <c r="BC72" s="365"/>
      <c r="BD72" s="365"/>
      <c r="BE72" s="365"/>
      <c r="BF72" s="365"/>
      <c r="BG72" s="365"/>
      <c r="BH72" s="365"/>
      <c r="BI72" s="365"/>
      <c r="BJ72" s="365"/>
      <c r="BK72" s="365"/>
      <c r="BL72" s="365"/>
      <c r="BM72" s="365"/>
      <c r="BN72" s="365"/>
      <c r="BO72" s="365"/>
      <c r="BP72" s="365"/>
      <c r="BQ72" s="365"/>
      <c r="BR72" s="365"/>
      <c r="BS72" s="365"/>
      <c r="BT72" s="365"/>
      <c r="BU72" s="365"/>
      <c r="BV72" s="365"/>
      <c r="BW72" s="365"/>
      <c r="BX72" s="365"/>
      <c r="BY72" s="365"/>
      <c r="BZ72" s="365"/>
      <c r="CA72" s="365"/>
      <c r="CB72" s="365"/>
      <c r="CC72" s="365"/>
      <c r="CD72" s="365"/>
      <c r="CE72" s="365"/>
      <c r="CF72" s="365"/>
      <c r="CG72" s="365"/>
      <c r="CH72" s="365"/>
      <c r="CI72" s="365"/>
      <c r="CJ72" s="365"/>
      <c r="CK72" s="365"/>
      <c r="CL72" s="365"/>
      <c r="CM72" s="365"/>
      <c r="CN72" s="365"/>
      <c r="CO72" s="365"/>
      <c r="CP72" s="365"/>
      <c r="CQ72" s="365"/>
      <c r="CR72" s="365"/>
      <c r="CS72" s="365"/>
      <c r="CT72" s="365"/>
      <c r="CU72" s="365"/>
      <c r="CV72" s="365"/>
      <c r="CW72" s="365"/>
      <c r="CX72" s="365"/>
      <c r="CY72" s="365"/>
      <c r="CZ72" s="365"/>
      <c r="DA72" s="365"/>
      <c r="DB72" s="365"/>
      <c r="DC72" s="365"/>
      <c r="DD72" s="365"/>
      <c r="DE72" s="365"/>
      <c r="DF72" s="365"/>
      <c r="DG72" s="365"/>
      <c r="DH72" s="365"/>
      <c r="DI72" s="365"/>
      <c r="DJ72" s="365"/>
      <c r="DK72" s="365"/>
      <c r="DL72" s="365"/>
      <c r="DM72" s="365"/>
      <c r="DN72" s="365"/>
      <c r="DO72" s="365"/>
      <c r="DP72" s="365"/>
      <c r="DQ72" s="365"/>
      <c r="DR72" s="365"/>
      <c r="DS72" s="365"/>
      <c r="DT72" s="365"/>
      <c r="DU72" s="365"/>
      <c r="DV72" s="365"/>
      <c r="DW72" s="365"/>
      <c r="DX72" s="365"/>
      <c r="DY72" s="365"/>
      <c r="DZ72" s="365"/>
      <c r="EA72" s="365"/>
      <c r="EB72" s="365"/>
      <c r="EC72" s="365"/>
      <c r="ED72" s="365"/>
      <c r="EE72" s="365"/>
      <c r="EF72" s="365"/>
      <c r="EG72" s="365"/>
      <c r="EH72" s="365"/>
      <c r="EI72" s="365"/>
      <c r="EJ72" s="365"/>
      <c r="EK72" s="365"/>
      <c r="EL72" s="365"/>
      <c r="EM72" s="365"/>
      <c r="EN72" s="365"/>
      <c r="EO72" s="365"/>
      <c r="EP72" s="365"/>
      <c r="EQ72" s="365"/>
      <c r="ER72" s="365"/>
      <c r="ES72" s="365"/>
      <c r="ET72" s="365"/>
      <c r="EU72" s="365"/>
      <c r="EV72" s="365"/>
      <c r="EW72" s="365"/>
      <c r="EX72" s="365"/>
      <c r="EY72" s="365"/>
      <c r="EZ72" s="365"/>
      <c r="FA72" s="365"/>
      <c r="FB72" s="365"/>
      <c r="FC72" s="365"/>
      <c r="FD72" s="365"/>
      <c r="FE72" s="365"/>
      <c r="FF72" s="365"/>
      <c r="FG72" s="365"/>
      <c r="FH72" s="365"/>
      <c r="FI72" s="365"/>
      <c r="FJ72" s="365"/>
      <c r="FK72" s="365"/>
      <c r="FL72" s="365"/>
      <c r="FM72" s="365"/>
      <c r="FN72" s="365"/>
      <c r="FO72" s="365"/>
      <c r="FP72" s="365"/>
      <c r="FQ72" s="365"/>
      <c r="FR72" s="365"/>
      <c r="FS72" s="365"/>
      <c r="FT72" s="365"/>
      <c r="FU72" s="365"/>
      <c r="FV72" s="365"/>
      <c r="FW72" s="365"/>
      <c r="FX72" s="365"/>
      <c r="FY72" s="365"/>
      <c r="FZ72" s="365"/>
      <c r="GA72" s="365"/>
      <c r="GB72" s="365"/>
      <c r="GC72" s="365"/>
      <c r="GD72" s="365"/>
      <c r="GE72" s="365"/>
      <c r="GF72" s="365"/>
      <c r="GG72" s="365"/>
      <c r="GH72" s="365"/>
      <c r="GI72" s="365"/>
      <c r="GJ72" s="365"/>
      <c r="GK72" s="365"/>
      <c r="GL72" s="365"/>
      <c r="GM72" s="365"/>
      <c r="GN72" s="365"/>
      <c r="GO72" s="365"/>
      <c r="GP72" s="365"/>
      <c r="GQ72" s="365"/>
      <c r="GR72" s="365"/>
      <c r="GS72" s="365"/>
      <c r="GT72" s="365"/>
      <c r="GU72" s="365"/>
      <c r="GV72" s="365"/>
      <c r="GW72" s="365"/>
      <c r="GX72" s="365"/>
      <c r="GY72" s="365"/>
      <c r="GZ72" s="365"/>
      <c r="HA72" s="365"/>
      <c r="HB72" s="365"/>
      <c r="HC72" s="365"/>
      <c r="HD72" s="365"/>
      <c r="HE72" s="365"/>
      <c r="HF72" s="365"/>
      <c r="HG72" s="365"/>
      <c r="HH72" s="365"/>
      <c r="HI72" s="365"/>
      <c r="HJ72" s="365"/>
      <c r="HK72" s="365"/>
      <c r="HL72" s="365"/>
      <c r="HM72" s="365"/>
      <c r="HN72" s="365"/>
      <c r="HO72" s="365"/>
      <c r="HP72" s="365"/>
      <c r="HQ72" s="365"/>
      <c r="HR72" s="365"/>
      <c r="HS72" s="365"/>
      <c r="HT72" s="365"/>
      <c r="HU72" s="365"/>
      <c r="HV72" s="365"/>
      <c r="HW72" s="365"/>
      <c r="HX72" s="365"/>
      <c r="HY72" s="365"/>
    </row>
    <row r="73" spans="1:233" ht="12.75">
      <c r="A73" s="365"/>
      <c r="B73" s="91" t="s">
        <v>131</v>
      </c>
      <c r="C73" s="92">
        <f>'Existing Management Practices'!C68</f>
        <v>0</v>
      </c>
      <c r="D73" s="99">
        <f>'Existing Management Practices'!D68</f>
        <v>0.05</v>
      </c>
      <c r="E73" s="99">
        <f>'Existing Management Practices'!E68</f>
        <v>0.19</v>
      </c>
      <c r="F73" s="99">
        <f>'Existing Management Practices'!F68</f>
        <v>0.03</v>
      </c>
      <c r="G73" s="137">
        <f>'Existing Management Practices'!G68</f>
        <v>0.1</v>
      </c>
      <c r="H73" s="431"/>
      <c r="I73" s="365"/>
      <c r="J73" s="365"/>
      <c r="K73" s="365"/>
      <c r="L73" s="365"/>
      <c r="M73" s="365"/>
      <c r="N73" s="365"/>
      <c r="O73" s="365"/>
      <c r="P73" s="365"/>
      <c r="Q73" s="365"/>
      <c r="R73" s="365"/>
      <c r="S73" s="365"/>
      <c r="T73" s="365"/>
      <c r="U73" s="365"/>
      <c r="V73" s="365"/>
      <c r="W73" s="365"/>
      <c r="X73" s="365"/>
      <c r="Y73" s="365"/>
      <c r="Z73" s="365"/>
      <c r="AA73" s="365"/>
      <c r="AB73" s="365"/>
      <c r="AC73" s="365"/>
      <c r="AD73" s="365"/>
      <c r="AE73" s="365"/>
      <c r="AF73" s="365"/>
      <c r="AG73" s="365"/>
      <c r="AH73" s="365"/>
      <c r="AI73" s="365"/>
      <c r="AJ73" s="365"/>
      <c r="AK73" s="365"/>
      <c r="AL73" s="365"/>
      <c r="AM73" s="365"/>
      <c r="AN73" s="365"/>
      <c r="AO73" s="365"/>
      <c r="AP73" s="365"/>
      <c r="AQ73" s="365"/>
      <c r="AR73" s="365"/>
      <c r="AS73" s="365"/>
      <c r="AT73" s="365"/>
      <c r="AU73" s="365"/>
      <c r="AV73" s="365"/>
      <c r="AW73" s="365"/>
      <c r="AX73" s="365"/>
      <c r="AY73" s="365"/>
      <c r="AZ73" s="365"/>
      <c r="BA73" s="365"/>
      <c r="BB73" s="365"/>
      <c r="BC73" s="365"/>
      <c r="BD73" s="365"/>
      <c r="BE73" s="365"/>
      <c r="BF73" s="365"/>
      <c r="BG73" s="365"/>
      <c r="BH73" s="365"/>
      <c r="BI73" s="365"/>
      <c r="BJ73" s="365"/>
      <c r="BK73" s="365"/>
      <c r="BL73" s="365"/>
      <c r="BM73" s="365"/>
      <c r="BN73" s="365"/>
      <c r="BO73" s="365"/>
      <c r="BP73" s="365"/>
      <c r="BQ73" s="365"/>
      <c r="BR73" s="365"/>
      <c r="BS73" s="365"/>
      <c r="BT73" s="365"/>
      <c r="BU73" s="365"/>
      <c r="BV73" s="365"/>
      <c r="BW73" s="365"/>
      <c r="BX73" s="365"/>
      <c r="BY73" s="365"/>
      <c r="BZ73" s="365"/>
      <c r="CA73" s="365"/>
      <c r="CB73" s="365"/>
      <c r="CC73" s="365"/>
      <c r="CD73" s="365"/>
      <c r="CE73" s="365"/>
      <c r="CF73" s="365"/>
      <c r="CG73" s="365"/>
      <c r="CH73" s="365"/>
      <c r="CI73" s="365"/>
      <c r="CJ73" s="365"/>
      <c r="CK73" s="365"/>
      <c r="CL73" s="365"/>
      <c r="CM73" s="365"/>
      <c r="CN73" s="365"/>
      <c r="CO73" s="365"/>
      <c r="CP73" s="365"/>
      <c r="CQ73" s="365"/>
      <c r="CR73" s="365"/>
      <c r="CS73" s="365"/>
      <c r="CT73" s="365"/>
      <c r="CU73" s="365"/>
      <c r="CV73" s="365"/>
      <c r="CW73" s="365"/>
      <c r="CX73" s="365"/>
      <c r="CY73" s="365"/>
      <c r="CZ73" s="365"/>
      <c r="DA73" s="365"/>
      <c r="DB73" s="365"/>
      <c r="DC73" s="365"/>
      <c r="DD73" s="365"/>
      <c r="DE73" s="365"/>
      <c r="DF73" s="365"/>
      <c r="DG73" s="365"/>
      <c r="DH73" s="365"/>
      <c r="DI73" s="365"/>
      <c r="DJ73" s="365"/>
      <c r="DK73" s="365"/>
      <c r="DL73" s="365"/>
      <c r="DM73" s="365"/>
      <c r="DN73" s="365"/>
      <c r="DO73" s="365"/>
      <c r="DP73" s="365"/>
      <c r="DQ73" s="365"/>
      <c r="DR73" s="365"/>
      <c r="DS73" s="365"/>
      <c r="DT73" s="365"/>
      <c r="DU73" s="365"/>
      <c r="DV73" s="365"/>
      <c r="DW73" s="365"/>
      <c r="DX73" s="365"/>
      <c r="DY73" s="365"/>
      <c r="DZ73" s="365"/>
      <c r="EA73" s="365"/>
      <c r="EB73" s="365"/>
      <c r="EC73" s="365"/>
      <c r="ED73" s="365"/>
      <c r="EE73" s="365"/>
      <c r="EF73" s="365"/>
      <c r="EG73" s="365"/>
      <c r="EH73" s="365"/>
      <c r="EI73" s="365"/>
      <c r="EJ73" s="365"/>
      <c r="EK73" s="365"/>
      <c r="EL73" s="365"/>
      <c r="EM73" s="365"/>
      <c r="EN73" s="365"/>
      <c r="EO73" s="365"/>
      <c r="EP73" s="365"/>
      <c r="EQ73" s="365"/>
      <c r="ER73" s="365"/>
      <c r="ES73" s="365"/>
      <c r="ET73" s="365"/>
      <c r="EU73" s="365"/>
      <c r="EV73" s="365"/>
      <c r="EW73" s="365"/>
      <c r="EX73" s="365"/>
      <c r="EY73" s="365"/>
      <c r="EZ73" s="365"/>
      <c r="FA73" s="365"/>
      <c r="FB73" s="365"/>
      <c r="FC73" s="365"/>
      <c r="FD73" s="365"/>
      <c r="FE73" s="365"/>
      <c r="FF73" s="365"/>
      <c r="FG73" s="365"/>
      <c r="FH73" s="365"/>
      <c r="FI73" s="365"/>
      <c r="FJ73" s="365"/>
      <c r="FK73" s="365"/>
      <c r="FL73" s="365"/>
      <c r="FM73" s="365"/>
      <c r="FN73" s="365"/>
      <c r="FO73" s="365"/>
      <c r="FP73" s="365"/>
      <c r="FQ73" s="365"/>
      <c r="FR73" s="365"/>
      <c r="FS73" s="365"/>
      <c r="FT73" s="365"/>
      <c r="FU73" s="365"/>
      <c r="FV73" s="365"/>
      <c r="FW73" s="365"/>
      <c r="FX73" s="365"/>
      <c r="FY73" s="365"/>
      <c r="FZ73" s="365"/>
      <c r="GA73" s="365"/>
      <c r="GB73" s="365"/>
      <c r="GC73" s="365"/>
      <c r="GD73" s="365"/>
      <c r="GE73" s="365"/>
      <c r="GF73" s="365"/>
      <c r="GG73" s="365"/>
      <c r="GH73" s="365"/>
      <c r="GI73" s="365"/>
      <c r="GJ73" s="365"/>
      <c r="GK73" s="365"/>
      <c r="GL73" s="365"/>
      <c r="GM73" s="365"/>
      <c r="GN73" s="365"/>
      <c r="GO73" s="365"/>
      <c r="GP73" s="365"/>
      <c r="GQ73" s="365"/>
      <c r="GR73" s="365"/>
      <c r="GS73" s="365"/>
      <c r="GT73" s="365"/>
      <c r="GU73" s="365"/>
      <c r="GV73" s="365"/>
      <c r="GW73" s="365"/>
      <c r="GX73" s="365"/>
      <c r="GY73" s="365"/>
      <c r="GZ73" s="365"/>
      <c r="HA73" s="365"/>
      <c r="HB73" s="365"/>
      <c r="HC73" s="365"/>
      <c r="HD73" s="365"/>
      <c r="HE73" s="365"/>
      <c r="HF73" s="365"/>
      <c r="HG73" s="365"/>
      <c r="HH73" s="365"/>
      <c r="HI73" s="365"/>
      <c r="HJ73" s="365"/>
      <c r="HK73" s="365"/>
      <c r="HL73" s="365"/>
      <c r="HM73" s="365"/>
      <c r="HN73" s="365"/>
      <c r="HO73" s="365"/>
      <c r="HP73" s="365"/>
      <c r="HQ73" s="365"/>
      <c r="HR73" s="365"/>
      <c r="HS73" s="365"/>
      <c r="HT73" s="365"/>
      <c r="HU73" s="365"/>
      <c r="HV73" s="365"/>
      <c r="HW73" s="365"/>
      <c r="HX73" s="365"/>
      <c r="HY73" s="365"/>
    </row>
    <row r="74" spans="1:233" ht="12.75">
      <c r="A74" s="365"/>
      <c r="B74" s="91" t="s">
        <v>132</v>
      </c>
      <c r="C74" s="92">
        <f>'Existing Management Practices'!C69</f>
        <v>0</v>
      </c>
      <c r="D74" s="99">
        <f>'Existing Management Practices'!D69</f>
        <v>0.25</v>
      </c>
      <c r="E74" s="99">
        <f>'Existing Management Practices'!E69</f>
        <v>0.19</v>
      </c>
      <c r="F74" s="99">
        <f>'Existing Management Practices'!F69</f>
        <v>0.47</v>
      </c>
      <c r="G74" s="137">
        <f>'Existing Management Practices'!G69</f>
        <v>0.6</v>
      </c>
      <c r="H74" s="431"/>
      <c r="I74" s="365"/>
      <c r="J74" s="365"/>
      <c r="K74" s="365"/>
      <c r="L74" s="365"/>
      <c r="M74" s="365"/>
      <c r="N74" s="365"/>
      <c r="O74" s="365"/>
      <c r="P74" s="365"/>
      <c r="Q74" s="365"/>
      <c r="R74" s="365"/>
      <c r="S74" s="365"/>
      <c r="T74" s="365"/>
      <c r="U74" s="365"/>
      <c r="V74" s="365"/>
      <c r="W74" s="365"/>
      <c r="X74" s="365"/>
      <c r="Y74" s="365"/>
      <c r="Z74" s="365"/>
      <c r="AA74" s="365"/>
      <c r="AB74" s="365"/>
      <c r="AC74" s="365"/>
      <c r="AD74" s="365"/>
      <c r="AE74" s="365"/>
      <c r="AF74" s="365"/>
      <c r="AG74" s="365"/>
      <c r="AH74" s="365"/>
      <c r="AI74" s="365"/>
      <c r="AJ74" s="365"/>
      <c r="AK74" s="365"/>
      <c r="AL74" s="365"/>
      <c r="AM74" s="365"/>
      <c r="AN74" s="365"/>
      <c r="AO74" s="365"/>
      <c r="AP74" s="365"/>
      <c r="AQ74" s="365"/>
      <c r="AR74" s="365"/>
      <c r="AS74" s="365"/>
      <c r="AT74" s="365"/>
      <c r="AU74" s="365"/>
      <c r="AV74" s="365"/>
      <c r="AW74" s="365"/>
      <c r="AX74" s="365"/>
      <c r="AY74" s="365"/>
      <c r="AZ74" s="365"/>
      <c r="BA74" s="365"/>
      <c r="BB74" s="365"/>
      <c r="BC74" s="365"/>
      <c r="BD74" s="365"/>
      <c r="BE74" s="365"/>
      <c r="BF74" s="365"/>
      <c r="BG74" s="365"/>
      <c r="BH74" s="365"/>
      <c r="BI74" s="365"/>
      <c r="BJ74" s="365"/>
      <c r="BK74" s="365"/>
      <c r="BL74" s="365"/>
      <c r="BM74" s="365"/>
      <c r="BN74" s="365"/>
      <c r="BO74" s="365"/>
      <c r="BP74" s="365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  <c r="CE74" s="365"/>
      <c r="CF74" s="365"/>
      <c r="CG74" s="365"/>
      <c r="CH74" s="365"/>
      <c r="CI74" s="365"/>
      <c r="CJ74" s="365"/>
      <c r="CK74" s="365"/>
      <c r="CL74" s="365"/>
      <c r="CM74" s="365"/>
      <c r="CN74" s="365"/>
      <c r="CO74" s="365"/>
      <c r="CP74" s="365"/>
      <c r="CQ74" s="365"/>
      <c r="CR74" s="365"/>
      <c r="CS74" s="365"/>
      <c r="CT74" s="365"/>
      <c r="CU74" s="365"/>
      <c r="CV74" s="365"/>
      <c r="CW74" s="365"/>
      <c r="CX74" s="365"/>
      <c r="CY74" s="365"/>
      <c r="CZ74" s="365"/>
      <c r="DA74" s="365"/>
      <c r="DB74" s="365"/>
      <c r="DC74" s="365"/>
      <c r="DD74" s="365"/>
      <c r="DE74" s="365"/>
      <c r="DF74" s="365"/>
      <c r="DG74" s="365"/>
      <c r="DH74" s="365"/>
      <c r="DI74" s="365"/>
      <c r="DJ74" s="365"/>
      <c r="DK74" s="365"/>
      <c r="DL74" s="365"/>
      <c r="DM74" s="365"/>
      <c r="DN74" s="365"/>
      <c r="DO74" s="365"/>
      <c r="DP74" s="365"/>
      <c r="DQ74" s="365"/>
      <c r="DR74" s="365"/>
      <c r="DS74" s="365"/>
      <c r="DT74" s="365"/>
      <c r="DU74" s="365"/>
      <c r="DV74" s="365"/>
      <c r="DW74" s="365"/>
      <c r="DX74" s="365"/>
      <c r="DY74" s="365"/>
      <c r="DZ74" s="365"/>
      <c r="EA74" s="365"/>
      <c r="EB74" s="365"/>
      <c r="EC74" s="365"/>
      <c r="ED74" s="365"/>
      <c r="EE74" s="365"/>
      <c r="EF74" s="365"/>
      <c r="EG74" s="365"/>
      <c r="EH74" s="365"/>
      <c r="EI74" s="365"/>
      <c r="EJ74" s="365"/>
      <c r="EK74" s="365"/>
      <c r="EL74" s="365"/>
      <c r="EM74" s="365"/>
      <c r="EN74" s="365"/>
      <c r="EO74" s="365"/>
      <c r="EP74" s="365"/>
      <c r="EQ74" s="365"/>
      <c r="ER74" s="365"/>
      <c r="ES74" s="365"/>
      <c r="ET74" s="365"/>
      <c r="EU74" s="365"/>
      <c r="EV74" s="365"/>
      <c r="EW74" s="365"/>
      <c r="EX74" s="365"/>
      <c r="EY74" s="365"/>
      <c r="EZ74" s="365"/>
      <c r="FA74" s="365"/>
      <c r="FB74" s="365"/>
      <c r="FC74" s="365"/>
      <c r="FD74" s="365"/>
      <c r="FE74" s="365"/>
      <c r="FF74" s="365"/>
      <c r="FG74" s="365"/>
      <c r="FH74" s="365"/>
      <c r="FI74" s="365"/>
      <c r="FJ74" s="365"/>
      <c r="FK74" s="365"/>
      <c r="FL74" s="365"/>
      <c r="FM74" s="365"/>
      <c r="FN74" s="365"/>
      <c r="FO74" s="365"/>
      <c r="FP74" s="365"/>
      <c r="FQ74" s="365"/>
      <c r="FR74" s="365"/>
      <c r="FS74" s="365"/>
      <c r="FT74" s="365"/>
      <c r="FU74" s="365"/>
      <c r="FV74" s="365"/>
      <c r="FW74" s="365"/>
      <c r="FX74" s="365"/>
      <c r="FY74" s="365"/>
      <c r="FZ74" s="365"/>
      <c r="GA74" s="365"/>
      <c r="GB74" s="365"/>
      <c r="GC74" s="365"/>
      <c r="GD74" s="365"/>
      <c r="GE74" s="365"/>
      <c r="GF74" s="365"/>
      <c r="GG74" s="365"/>
      <c r="GH74" s="365"/>
      <c r="GI74" s="365"/>
      <c r="GJ74" s="365"/>
      <c r="GK74" s="365"/>
      <c r="GL74" s="365"/>
      <c r="GM74" s="365"/>
      <c r="GN74" s="365"/>
      <c r="GO74" s="365"/>
      <c r="GP74" s="365"/>
      <c r="GQ74" s="365"/>
      <c r="GR74" s="365"/>
      <c r="GS74" s="365"/>
      <c r="GT74" s="365"/>
      <c r="GU74" s="365"/>
      <c r="GV74" s="365"/>
      <c r="GW74" s="365"/>
      <c r="GX74" s="365"/>
      <c r="GY74" s="365"/>
      <c r="GZ74" s="365"/>
      <c r="HA74" s="365"/>
      <c r="HB74" s="365"/>
      <c r="HC74" s="365"/>
      <c r="HD74" s="365"/>
      <c r="HE74" s="365"/>
      <c r="HF74" s="365"/>
      <c r="HG74" s="365"/>
      <c r="HH74" s="365"/>
      <c r="HI74" s="365"/>
      <c r="HJ74" s="365"/>
      <c r="HK74" s="365"/>
      <c r="HL74" s="365"/>
      <c r="HM74" s="365"/>
      <c r="HN74" s="365"/>
      <c r="HO74" s="365"/>
      <c r="HP74" s="365"/>
      <c r="HQ74" s="365"/>
      <c r="HR74" s="365"/>
      <c r="HS74" s="365"/>
      <c r="HT74" s="365"/>
      <c r="HU74" s="365"/>
      <c r="HV74" s="365"/>
      <c r="HW74" s="365"/>
      <c r="HX74" s="365"/>
      <c r="HY74" s="365"/>
    </row>
    <row r="75" spans="1:233" ht="12.75">
      <c r="A75" s="365"/>
      <c r="B75" s="91" t="s">
        <v>133</v>
      </c>
      <c r="C75" s="92">
        <f>'Existing Management Practices'!C70</f>
        <v>0</v>
      </c>
      <c r="D75" s="99">
        <f>'Existing Management Practices'!D70</f>
        <v>0.33</v>
      </c>
      <c r="E75" s="99">
        <f>'Existing Management Practices'!E70</f>
        <v>0.51</v>
      </c>
      <c r="F75" s="99">
        <f>'Existing Management Practices'!F70</f>
        <v>0.8</v>
      </c>
      <c r="G75" s="137">
        <f>'Existing Management Practices'!G70</f>
        <v>0.7</v>
      </c>
      <c r="H75" s="431"/>
      <c r="I75" s="365"/>
      <c r="J75" s="365"/>
      <c r="K75" s="365"/>
      <c r="L75" s="365"/>
      <c r="M75" s="365"/>
      <c r="N75" s="365"/>
      <c r="O75" s="365"/>
      <c r="P75" s="365"/>
      <c r="Q75" s="365"/>
      <c r="R75" s="365"/>
      <c r="S75" s="365"/>
      <c r="T75" s="365"/>
      <c r="U75" s="365"/>
      <c r="V75" s="365"/>
      <c r="W75" s="365"/>
      <c r="X75" s="365"/>
      <c r="Y75" s="365"/>
      <c r="Z75" s="365"/>
      <c r="AA75" s="365"/>
      <c r="AB75" s="365"/>
      <c r="AC75" s="365"/>
      <c r="AD75" s="365"/>
      <c r="AE75" s="365"/>
      <c r="AF75" s="365"/>
      <c r="AG75" s="365"/>
      <c r="AH75" s="365"/>
      <c r="AI75" s="365"/>
      <c r="AJ75" s="365"/>
      <c r="AK75" s="365"/>
      <c r="AL75" s="365"/>
      <c r="AM75" s="365"/>
      <c r="AN75" s="365"/>
      <c r="AO75" s="365"/>
      <c r="AP75" s="365"/>
      <c r="AQ75" s="365"/>
      <c r="AR75" s="365"/>
      <c r="AS75" s="365"/>
      <c r="AT75" s="365"/>
      <c r="AU75" s="365"/>
      <c r="AV75" s="365"/>
      <c r="AW75" s="365"/>
      <c r="AX75" s="365"/>
      <c r="AY75" s="365"/>
      <c r="AZ75" s="365"/>
      <c r="BA75" s="365"/>
      <c r="BB75" s="365"/>
      <c r="BC75" s="365"/>
      <c r="BD75" s="365"/>
      <c r="BE75" s="365"/>
      <c r="BF75" s="365"/>
      <c r="BG75" s="365"/>
      <c r="BH75" s="365"/>
      <c r="BI75" s="365"/>
      <c r="BJ75" s="365"/>
      <c r="BK75" s="365"/>
      <c r="BL75" s="365"/>
      <c r="BM75" s="365"/>
      <c r="BN75" s="365"/>
      <c r="BO75" s="365"/>
      <c r="BP75" s="365"/>
      <c r="BQ75" s="365"/>
      <c r="BR75" s="365"/>
      <c r="BS75" s="365"/>
      <c r="BT75" s="365"/>
      <c r="BU75" s="365"/>
      <c r="BV75" s="365"/>
      <c r="BW75" s="365"/>
      <c r="BX75" s="365"/>
      <c r="BY75" s="365"/>
      <c r="BZ75" s="365"/>
      <c r="CA75" s="365"/>
      <c r="CB75" s="365"/>
      <c r="CC75" s="365"/>
      <c r="CD75" s="365"/>
      <c r="CE75" s="365"/>
      <c r="CF75" s="365"/>
      <c r="CG75" s="365"/>
      <c r="CH75" s="365"/>
      <c r="CI75" s="365"/>
      <c r="CJ75" s="365"/>
      <c r="CK75" s="365"/>
      <c r="CL75" s="365"/>
      <c r="CM75" s="365"/>
      <c r="CN75" s="365"/>
      <c r="CO75" s="365"/>
      <c r="CP75" s="365"/>
      <c r="CQ75" s="365"/>
      <c r="CR75" s="365"/>
      <c r="CS75" s="365"/>
      <c r="CT75" s="365"/>
      <c r="CU75" s="365"/>
      <c r="CV75" s="365"/>
      <c r="CW75" s="365"/>
      <c r="CX75" s="365"/>
      <c r="CY75" s="365"/>
      <c r="CZ75" s="365"/>
      <c r="DA75" s="365"/>
      <c r="DB75" s="365"/>
      <c r="DC75" s="365"/>
      <c r="DD75" s="365"/>
      <c r="DE75" s="365"/>
      <c r="DF75" s="365"/>
      <c r="DG75" s="365"/>
      <c r="DH75" s="365"/>
      <c r="DI75" s="365"/>
      <c r="DJ75" s="365"/>
      <c r="DK75" s="365"/>
      <c r="DL75" s="365"/>
      <c r="DM75" s="365"/>
      <c r="DN75" s="365"/>
      <c r="DO75" s="365"/>
      <c r="DP75" s="365"/>
      <c r="DQ75" s="365"/>
      <c r="DR75" s="365"/>
      <c r="DS75" s="365"/>
      <c r="DT75" s="365"/>
      <c r="DU75" s="365"/>
      <c r="DV75" s="365"/>
      <c r="DW75" s="365"/>
      <c r="DX75" s="365"/>
      <c r="DY75" s="365"/>
      <c r="DZ75" s="365"/>
      <c r="EA75" s="365"/>
      <c r="EB75" s="365"/>
      <c r="EC75" s="365"/>
      <c r="ED75" s="365"/>
      <c r="EE75" s="365"/>
      <c r="EF75" s="365"/>
      <c r="EG75" s="365"/>
      <c r="EH75" s="365"/>
      <c r="EI75" s="365"/>
      <c r="EJ75" s="365"/>
      <c r="EK75" s="365"/>
      <c r="EL75" s="365"/>
      <c r="EM75" s="365"/>
      <c r="EN75" s="365"/>
      <c r="EO75" s="365"/>
      <c r="EP75" s="365"/>
      <c r="EQ75" s="365"/>
      <c r="ER75" s="365"/>
      <c r="ES75" s="365"/>
      <c r="ET75" s="365"/>
      <c r="EU75" s="365"/>
      <c r="EV75" s="365"/>
      <c r="EW75" s="365"/>
      <c r="EX75" s="365"/>
      <c r="EY75" s="365"/>
      <c r="EZ75" s="365"/>
      <c r="FA75" s="365"/>
      <c r="FB75" s="365"/>
      <c r="FC75" s="365"/>
      <c r="FD75" s="365"/>
      <c r="FE75" s="365"/>
      <c r="FF75" s="365"/>
      <c r="FG75" s="365"/>
      <c r="FH75" s="365"/>
      <c r="FI75" s="365"/>
      <c r="FJ75" s="365"/>
      <c r="FK75" s="365"/>
      <c r="FL75" s="365"/>
      <c r="FM75" s="365"/>
      <c r="FN75" s="365"/>
      <c r="FO75" s="365"/>
      <c r="FP75" s="365"/>
      <c r="FQ75" s="365"/>
      <c r="FR75" s="365"/>
      <c r="FS75" s="365"/>
      <c r="FT75" s="365"/>
      <c r="FU75" s="365"/>
      <c r="FV75" s="365"/>
      <c r="FW75" s="365"/>
      <c r="FX75" s="365"/>
      <c r="FY75" s="365"/>
      <c r="FZ75" s="365"/>
      <c r="GA75" s="365"/>
      <c r="GB75" s="365"/>
      <c r="GC75" s="365"/>
      <c r="GD75" s="365"/>
      <c r="GE75" s="365"/>
      <c r="GF75" s="365"/>
      <c r="GG75" s="365"/>
      <c r="GH75" s="365"/>
      <c r="GI75" s="365"/>
      <c r="GJ75" s="365"/>
      <c r="GK75" s="365"/>
      <c r="GL75" s="365"/>
      <c r="GM75" s="365"/>
      <c r="GN75" s="365"/>
      <c r="GO75" s="365"/>
      <c r="GP75" s="365"/>
      <c r="GQ75" s="365"/>
      <c r="GR75" s="365"/>
      <c r="GS75" s="365"/>
      <c r="GT75" s="365"/>
      <c r="GU75" s="365"/>
      <c r="GV75" s="365"/>
      <c r="GW75" s="365"/>
      <c r="GX75" s="365"/>
      <c r="GY75" s="365"/>
      <c r="GZ75" s="365"/>
      <c r="HA75" s="365"/>
      <c r="HB75" s="365"/>
      <c r="HC75" s="365"/>
      <c r="HD75" s="365"/>
      <c r="HE75" s="365"/>
      <c r="HF75" s="365"/>
      <c r="HG75" s="365"/>
      <c r="HH75" s="365"/>
      <c r="HI75" s="365"/>
      <c r="HJ75" s="365"/>
      <c r="HK75" s="365"/>
      <c r="HL75" s="365"/>
      <c r="HM75" s="365"/>
      <c r="HN75" s="365"/>
      <c r="HO75" s="365"/>
      <c r="HP75" s="365"/>
      <c r="HQ75" s="365"/>
      <c r="HR75" s="365"/>
      <c r="HS75" s="365"/>
      <c r="HT75" s="365"/>
      <c r="HU75" s="365"/>
      <c r="HV75" s="365"/>
      <c r="HW75" s="365"/>
      <c r="HX75" s="365"/>
      <c r="HY75" s="365"/>
    </row>
    <row r="76" spans="1:233" ht="12.75">
      <c r="A76" s="378"/>
      <c r="B76" s="91" t="s">
        <v>134</v>
      </c>
      <c r="C76" s="92">
        <f>'Existing Management Practices'!C71</f>
        <v>0</v>
      </c>
      <c r="D76" s="99">
        <f>'Existing Management Practices'!D71</f>
        <v>0.3</v>
      </c>
      <c r="E76" s="99">
        <f>'Existing Management Practices'!E71</f>
        <v>0.49</v>
      </c>
      <c r="F76" s="99">
        <f>'Existing Management Practices'!F71</f>
        <v>0.76</v>
      </c>
      <c r="G76" s="137">
        <f>'Existing Management Practices'!G71</f>
        <v>0.78</v>
      </c>
      <c r="H76" s="431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365"/>
      <c r="AC76" s="365"/>
      <c r="AD76" s="365"/>
      <c r="AE76" s="365"/>
      <c r="AF76" s="365"/>
      <c r="AG76" s="365"/>
      <c r="AH76" s="365"/>
      <c r="AI76" s="365"/>
      <c r="AJ76" s="365"/>
      <c r="AK76" s="365"/>
      <c r="AL76" s="365"/>
      <c r="AM76" s="365"/>
      <c r="AN76" s="365"/>
      <c r="AO76" s="365"/>
      <c r="AP76" s="365"/>
      <c r="AQ76" s="365"/>
      <c r="AR76" s="365"/>
      <c r="AS76" s="365"/>
      <c r="AT76" s="365"/>
      <c r="AU76" s="365"/>
      <c r="AV76" s="365"/>
      <c r="AW76" s="365"/>
      <c r="AX76" s="365"/>
      <c r="AY76" s="365"/>
      <c r="AZ76" s="365"/>
      <c r="BA76" s="365"/>
      <c r="BB76" s="365"/>
      <c r="BC76" s="365"/>
      <c r="BD76" s="365"/>
      <c r="BE76" s="365"/>
      <c r="BF76" s="365"/>
      <c r="BG76" s="365"/>
      <c r="BH76" s="365"/>
      <c r="BI76" s="365"/>
      <c r="BJ76" s="365"/>
      <c r="BK76" s="365"/>
      <c r="BL76" s="365"/>
      <c r="BM76" s="365"/>
      <c r="BN76" s="365"/>
      <c r="BO76" s="365"/>
      <c r="BP76" s="365"/>
      <c r="BQ76" s="365"/>
      <c r="BR76" s="365"/>
      <c r="BS76" s="365"/>
      <c r="BT76" s="365"/>
      <c r="BU76" s="365"/>
      <c r="BV76" s="365"/>
      <c r="BW76" s="365"/>
      <c r="BX76" s="365"/>
      <c r="BY76" s="365"/>
      <c r="BZ76" s="365"/>
      <c r="CA76" s="365"/>
      <c r="CB76" s="365"/>
      <c r="CC76" s="365"/>
      <c r="CD76" s="365"/>
      <c r="CE76" s="365"/>
      <c r="CF76" s="365"/>
      <c r="CG76" s="365"/>
      <c r="CH76" s="365"/>
      <c r="CI76" s="365"/>
      <c r="CJ76" s="365"/>
      <c r="CK76" s="365"/>
      <c r="CL76" s="365"/>
      <c r="CM76" s="365"/>
      <c r="CN76" s="365"/>
      <c r="CO76" s="365"/>
      <c r="CP76" s="365"/>
      <c r="CQ76" s="365"/>
      <c r="CR76" s="365"/>
      <c r="CS76" s="365"/>
      <c r="CT76" s="365"/>
      <c r="CU76" s="365"/>
      <c r="CV76" s="365"/>
      <c r="CW76" s="365"/>
      <c r="CX76" s="365"/>
      <c r="CY76" s="365"/>
      <c r="CZ76" s="365"/>
      <c r="DA76" s="365"/>
      <c r="DB76" s="365"/>
      <c r="DC76" s="365"/>
      <c r="DD76" s="365"/>
      <c r="DE76" s="365"/>
      <c r="DF76" s="365"/>
      <c r="DG76" s="365"/>
      <c r="DH76" s="365"/>
      <c r="DI76" s="365"/>
      <c r="DJ76" s="365"/>
      <c r="DK76" s="365"/>
      <c r="DL76" s="365"/>
      <c r="DM76" s="365"/>
      <c r="DN76" s="365"/>
      <c r="DO76" s="365"/>
      <c r="DP76" s="365"/>
      <c r="DQ76" s="365"/>
      <c r="DR76" s="365"/>
      <c r="DS76" s="365"/>
      <c r="DT76" s="365"/>
      <c r="DU76" s="365"/>
      <c r="DV76" s="365"/>
      <c r="DW76" s="365"/>
      <c r="DX76" s="365"/>
      <c r="DY76" s="365"/>
      <c r="DZ76" s="365"/>
      <c r="EA76" s="365"/>
      <c r="EB76" s="365"/>
      <c r="EC76" s="365"/>
      <c r="ED76" s="365"/>
      <c r="EE76" s="365"/>
      <c r="EF76" s="365"/>
      <c r="EG76" s="365"/>
      <c r="EH76" s="365"/>
      <c r="EI76" s="365"/>
      <c r="EJ76" s="365"/>
      <c r="EK76" s="365"/>
      <c r="EL76" s="365"/>
      <c r="EM76" s="365"/>
      <c r="EN76" s="365"/>
      <c r="EO76" s="365"/>
      <c r="EP76" s="365"/>
      <c r="EQ76" s="365"/>
      <c r="ER76" s="365"/>
      <c r="ES76" s="365"/>
      <c r="ET76" s="365"/>
      <c r="EU76" s="365"/>
      <c r="EV76" s="365"/>
      <c r="EW76" s="365"/>
      <c r="EX76" s="365"/>
      <c r="EY76" s="365"/>
      <c r="EZ76" s="365"/>
      <c r="FA76" s="365"/>
      <c r="FB76" s="365"/>
      <c r="FC76" s="365"/>
      <c r="FD76" s="365"/>
      <c r="FE76" s="365"/>
      <c r="FF76" s="365"/>
      <c r="FG76" s="365"/>
      <c r="FH76" s="365"/>
      <c r="FI76" s="365"/>
      <c r="FJ76" s="365"/>
      <c r="FK76" s="365"/>
      <c r="FL76" s="365"/>
      <c r="FM76" s="365"/>
      <c r="FN76" s="365"/>
      <c r="FO76" s="365"/>
      <c r="FP76" s="365"/>
      <c r="FQ76" s="365"/>
      <c r="FR76" s="365"/>
      <c r="FS76" s="365"/>
      <c r="FT76" s="365"/>
      <c r="FU76" s="365"/>
      <c r="FV76" s="365"/>
      <c r="FW76" s="365"/>
      <c r="FX76" s="365"/>
      <c r="FY76" s="365"/>
      <c r="FZ76" s="365"/>
      <c r="GA76" s="365"/>
      <c r="GB76" s="365"/>
      <c r="GC76" s="365"/>
      <c r="GD76" s="365"/>
      <c r="GE76" s="365"/>
      <c r="GF76" s="365"/>
      <c r="GG76" s="365"/>
      <c r="GH76" s="365"/>
      <c r="GI76" s="365"/>
      <c r="GJ76" s="365"/>
      <c r="GK76" s="365"/>
      <c r="GL76" s="365"/>
      <c r="GM76" s="365"/>
      <c r="GN76" s="365"/>
      <c r="GO76" s="365"/>
      <c r="GP76" s="365"/>
      <c r="GQ76" s="365"/>
      <c r="GR76" s="365"/>
      <c r="GS76" s="365"/>
      <c r="GT76" s="365"/>
      <c r="GU76" s="365"/>
      <c r="GV76" s="365"/>
      <c r="GW76" s="365"/>
      <c r="GX76" s="365"/>
      <c r="GY76" s="365"/>
      <c r="GZ76" s="365"/>
      <c r="HA76" s="365"/>
      <c r="HB76" s="365"/>
      <c r="HC76" s="365"/>
      <c r="HD76" s="365"/>
      <c r="HE76" s="365"/>
      <c r="HF76" s="365"/>
      <c r="HG76" s="365"/>
      <c r="HH76" s="365"/>
      <c r="HI76" s="365"/>
      <c r="HJ76" s="365"/>
      <c r="HK76" s="365"/>
      <c r="HL76" s="365"/>
      <c r="HM76" s="365"/>
      <c r="HN76" s="365"/>
      <c r="HO76" s="365"/>
      <c r="HP76" s="365"/>
      <c r="HQ76" s="365"/>
      <c r="HR76" s="365"/>
      <c r="HS76" s="365"/>
      <c r="HT76" s="365"/>
      <c r="HU76" s="365"/>
      <c r="HV76" s="365"/>
      <c r="HW76" s="365"/>
      <c r="HX76" s="365"/>
      <c r="HY76" s="365"/>
    </row>
    <row r="77" spans="1:233" ht="12.75">
      <c r="A77" s="378"/>
      <c r="B77" s="91" t="s">
        <v>135</v>
      </c>
      <c r="C77" s="92">
        <f>'Existing Management Practices'!C72</f>
        <v>0</v>
      </c>
      <c r="D77" s="99">
        <f>'Existing Management Practices'!D72</f>
        <v>0.38</v>
      </c>
      <c r="E77" s="99">
        <f>'Existing Management Practices'!E72</f>
        <v>0.34</v>
      </c>
      <c r="F77" s="99">
        <f>'Existing Management Practices'!F72</f>
        <v>0.81</v>
      </c>
      <c r="G77" s="137">
        <f>'Existing Management Practices'!G72</f>
        <v>0</v>
      </c>
      <c r="H77" s="431"/>
      <c r="I77" s="365"/>
      <c r="J77" s="365"/>
      <c r="K77" s="365"/>
      <c r="L77" s="365"/>
      <c r="M77" s="365"/>
      <c r="N77" s="365"/>
      <c r="O77" s="365"/>
      <c r="P77" s="365"/>
      <c r="Q77" s="365"/>
      <c r="R77" s="365"/>
      <c r="S77" s="365"/>
      <c r="T77" s="365"/>
      <c r="U77" s="365"/>
      <c r="V77" s="365"/>
      <c r="W77" s="365"/>
      <c r="X77" s="365"/>
      <c r="Y77" s="365"/>
      <c r="Z77" s="365"/>
      <c r="AA77" s="365"/>
      <c r="AB77" s="365"/>
      <c r="AC77" s="365"/>
      <c r="AD77" s="365"/>
      <c r="AE77" s="365"/>
      <c r="AF77" s="365"/>
      <c r="AG77" s="365"/>
      <c r="AH77" s="365"/>
      <c r="AI77" s="365"/>
      <c r="AJ77" s="365"/>
      <c r="AK77" s="365"/>
      <c r="AL77" s="365"/>
      <c r="AM77" s="365"/>
      <c r="AN77" s="365"/>
      <c r="AO77" s="365"/>
      <c r="AP77" s="365"/>
      <c r="AQ77" s="365"/>
      <c r="AR77" s="365"/>
      <c r="AS77" s="365"/>
      <c r="AT77" s="365"/>
      <c r="AU77" s="365"/>
      <c r="AV77" s="365"/>
      <c r="AW77" s="365"/>
      <c r="AX77" s="365"/>
      <c r="AY77" s="365"/>
      <c r="AZ77" s="365"/>
      <c r="BA77" s="365"/>
      <c r="BB77" s="365"/>
      <c r="BC77" s="365"/>
      <c r="BD77" s="365"/>
      <c r="BE77" s="365"/>
      <c r="BF77" s="365"/>
      <c r="BG77" s="365"/>
      <c r="BH77" s="365"/>
      <c r="BI77" s="365"/>
      <c r="BJ77" s="365"/>
      <c r="BK77" s="365"/>
      <c r="BL77" s="365"/>
      <c r="BM77" s="365"/>
      <c r="BN77" s="365"/>
      <c r="BO77" s="365"/>
      <c r="BP77" s="365"/>
      <c r="BQ77" s="365"/>
      <c r="BR77" s="365"/>
      <c r="BS77" s="365"/>
      <c r="BT77" s="365"/>
      <c r="BU77" s="365"/>
      <c r="BV77" s="365"/>
      <c r="BW77" s="365"/>
      <c r="BX77" s="365"/>
      <c r="BY77" s="365"/>
      <c r="BZ77" s="365"/>
      <c r="CA77" s="365"/>
      <c r="CB77" s="365"/>
      <c r="CC77" s="365"/>
      <c r="CD77" s="365"/>
      <c r="CE77" s="365"/>
      <c r="CF77" s="365"/>
      <c r="CG77" s="365"/>
      <c r="CH77" s="365"/>
      <c r="CI77" s="365"/>
      <c r="CJ77" s="365"/>
      <c r="CK77" s="365"/>
      <c r="CL77" s="365"/>
      <c r="CM77" s="365"/>
      <c r="CN77" s="365"/>
      <c r="CO77" s="365"/>
      <c r="CP77" s="365"/>
      <c r="CQ77" s="365"/>
      <c r="CR77" s="365"/>
      <c r="CS77" s="365"/>
      <c r="CT77" s="365"/>
      <c r="CU77" s="365"/>
      <c r="CV77" s="365"/>
      <c r="CW77" s="365"/>
      <c r="CX77" s="365"/>
      <c r="CY77" s="365"/>
      <c r="CZ77" s="365"/>
      <c r="DA77" s="365"/>
      <c r="DB77" s="365"/>
      <c r="DC77" s="365"/>
      <c r="DD77" s="365"/>
      <c r="DE77" s="365"/>
      <c r="DF77" s="365"/>
      <c r="DG77" s="365"/>
      <c r="DH77" s="365"/>
      <c r="DI77" s="365"/>
      <c r="DJ77" s="365"/>
      <c r="DK77" s="365"/>
      <c r="DL77" s="365"/>
      <c r="DM77" s="365"/>
      <c r="DN77" s="365"/>
      <c r="DO77" s="365"/>
      <c r="DP77" s="365"/>
      <c r="DQ77" s="365"/>
      <c r="DR77" s="365"/>
      <c r="DS77" s="365"/>
      <c r="DT77" s="365"/>
      <c r="DU77" s="365"/>
      <c r="DV77" s="365"/>
      <c r="DW77" s="365"/>
      <c r="DX77" s="365"/>
      <c r="DY77" s="365"/>
      <c r="DZ77" s="365"/>
      <c r="EA77" s="365"/>
      <c r="EB77" s="365"/>
      <c r="EC77" s="365"/>
      <c r="ED77" s="365"/>
      <c r="EE77" s="365"/>
      <c r="EF77" s="365"/>
      <c r="EG77" s="365"/>
      <c r="EH77" s="365"/>
      <c r="EI77" s="365"/>
      <c r="EJ77" s="365"/>
      <c r="EK77" s="365"/>
      <c r="EL77" s="365"/>
      <c r="EM77" s="365"/>
      <c r="EN77" s="365"/>
      <c r="EO77" s="365"/>
      <c r="EP77" s="365"/>
      <c r="EQ77" s="365"/>
      <c r="ER77" s="365"/>
      <c r="ES77" s="365"/>
      <c r="ET77" s="365"/>
      <c r="EU77" s="365"/>
      <c r="EV77" s="365"/>
      <c r="EW77" s="365"/>
      <c r="EX77" s="365"/>
      <c r="EY77" s="365"/>
      <c r="EZ77" s="365"/>
      <c r="FA77" s="365"/>
      <c r="FB77" s="365"/>
      <c r="FC77" s="365"/>
      <c r="FD77" s="365"/>
      <c r="FE77" s="365"/>
      <c r="FF77" s="365"/>
      <c r="FG77" s="365"/>
      <c r="FH77" s="365"/>
      <c r="FI77" s="365"/>
      <c r="FJ77" s="365"/>
      <c r="FK77" s="365"/>
      <c r="FL77" s="365"/>
      <c r="FM77" s="365"/>
      <c r="FN77" s="365"/>
      <c r="FO77" s="365"/>
      <c r="FP77" s="365"/>
      <c r="FQ77" s="365"/>
      <c r="FR77" s="365"/>
      <c r="FS77" s="365"/>
      <c r="FT77" s="365"/>
      <c r="FU77" s="365"/>
      <c r="FV77" s="365"/>
      <c r="FW77" s="365"/>
      <c r="FX77" s="365"/>
      <c r="FY77" s="365"/>
      <c r="FZ77" s="365"/>
      <c r="GA77" s="365"/>
      <c r="GB77" s="365"/>
      <c r="GC77" s="365"/>
      <c r="GD77" s="365"/>
      <c r="GE77" s="365"/>
      <c r="GF77" s="365"/>
      <c r="GG77" s="365"/>
      <c r="GH77" s="365"/>
      <c r="GI77" s="365"/>
      <c r="GJ77" s="365"/>
      <c r="GK77" s="365"/>
      <c r="GL77" s="365"/>
      <c r="GM77" s="365"/>
      <c r="GN77" s="365"/>
      <c r="GO77" s="365"/>
      <c r="GP77" s="365"/>
      <c r="GQ77" s="365"/>
      <c r="GR77" s="365"/>
      <c r="GS77" s="365"/>
      <c r="GT77" s="365"/>
      <c r="GU77" s="365"/>
      <c r="GV77" s="365"/>
      <c r="GW77" s="365"/>
      <c r="GX77" s="365"/>
      <c r="GY77" s="365"/>
      <c r="GZ77" s="365"/>
      <c r="HA77" s="365"/>
      <c r="HB77" s="365"/>
      <c r="HC77" s="365"/>
      <c r="HD77" s="365"/>
      <c r="HE77" s="365"/>
      <c r="HF77" s="365"/>
      <c r="HG77" s="365"/>
      <c r="HH77" s="365"/>
      <c r="HI77" s="365"/>
      <c r="HJ77" s="365"/>
      <c r="HK77" s="365"/>
      <c r="HL77" s="365"/>
      <c r="HM77" s="365"/>
      <c r="HN77" s="365"/>
      <c r="HO77" s="365"/>
      <c r="HP77" s="365"/>
      <c r="HQ77" s="365"/>
      <c r="HR77" s="365"/>
      <c r="HS77" s="365"/>
      <c r="HT77" s="365"/>
      <c r="HU77" s="365"/>
      <c r="HV77" s="365"/>
      <c r="HW77" s="365"/>
      <c r="HX77" s="365"/>
      <c r="HY77" s="365"/>
    </row>
    <row r="78" spans="1:233" ht="12.75">
      <c r="A78" s="378"/>
      <c r="B78" s="91" t="s">
        <v>136</v>
      </c>
      <c r="C78" s="92">
        <f>'Existing Management Practices'!C73</f>
        <v>0</v>
      </c>
      <c r="D78" s="99">
        <f>'Existing Management Practices'!D73</f>
        <v>0.38</v>
      </c>
      <c r="E78" s="99">
        <f>'Existing Management Practices'!E73</f>
        <v>0.59</v>
      </c>
      <c r="F78" s="99">
        <f>'Existing Management Practices'!F73</f>
        <v>0.86</v>
      </c>
      <c r="G78" s="137">
        <f>'Existing Management Practices'!G73</f>
        <v>0.37</v>
      </c>
      <c r="H78" s="431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365"/>
      <c r="AK78" s="365"/>
      <c r="AL78" s="365"/>
      <c r="AM78" s="365"/>
      <c r="AN78" s="365"/>
      <c r="AO78" s="365"/>
      <c r="AP78" s="365"/>
      <c r="AQ78" s="365"/>
      <c r="AR78" s="365"/>
      <c r="AS78" s="365"/>
      <c r="AT78" s="365"/>
      <c r="AU78" s="365"/>
      <c r="AV78" s="365"/>
      <c r="AW78" s="365"/>
      <c r="AX78" s="365"/>
      <c r="AY78" s="365"/>
      <c r="AZ78" s="365"/>
      <c r="BA78" s="365"/>
      <c r="BB78" s="365"/>
      <c r="BC78" s="365"/>
      <c r="BD78" s="365"/>
      <c r="BE78" s="365"/>
      <c r="BF78" s="365"/>
      <c r="BG78" s="365"/>
      <c r="BH78" s="365"/>
      <c r="BI78" s="365"/>
      <c r="BJ78" s="365"/>
      <c r="BK78" s="365"/>
      <c r="BL78" s="365"/>
      <c r="BM78" s="365"/>
      <c r="BN78" s="365"/>
      <c r="BO78" s="365"/>
      <c r="BP78" s="365"/>
      <c r="BQ78" s="365"/>
      <c r="BR78" s="365"/>
      <c r="BS78" s="365"/>
      <c r="BT78" s="365"/>
      <c r="BU78" s="365"/>
      <c r="BV78" s="365"/>
      <c r="BW78" s="365"/>
      <c r="BX78" s="365"/>
      <c r="BY78" s="365"/>
      <c r="BZ78" s="365"/>
      <c r="CA78" s="365"/>
      <c r="CB78" s="365"/>
      <c r="CC78" s="365"/>
      <c r="CD78" s="365"/>
      <c r="CE78" s="365"/>
      <c r="CF78" s="365"/>
      <c r="CG78" s="365"/>
      <c r="CH78" s="365"/>
      <c r="CI78" s="365"/>
      <c r="CJ78" s="365"/>
      <c r="CK78" s="365"/>
      <c r="CL78" s="365"/>
      <c r="CM78" s="365"/>
      <c r="CN78" s="365"/>
      <c r="CO78" s="365"/>
      <c r="CP78" s="365"/>
      <c r="CQ78" s="365"/>
      <c r="CR78" s="365"/>
      <c r="CS78" s="365"/>
      <c r="CT78" s="365"/>
      <c r="CU78" s="365"/>
      <c r="CV78" s="365"/>
      <c r="CW78" s="365"/>
      <c r="CX78" s="365"/>
      <c r="CY78" s="365"/>
      <c r="CZ78" s="365"/>
      <c r="DA78" s="365"/>
      <c r="DB78" s="365"/>
      <c r="DC78" s="365"/>
      <c r="DD78" s="365"/>
      <c r="DE78" s="365"/>
      <c r="DF78" s="365"/>
      <c r="DG78" s="365"/>
      <c r="DH78" s="365"/>
      <c r="DI78" s="365"/>
      <c r="DJ78" s="365"/>
      <c r="DK78" s="365"/>
      <c r="DL78" s="365"/>
      <c r="DM78" s="365"/>
      <c r="DN78" s="365"/>
      <c r="DO78" s="365"/>
      <c r="DP78" s="365"/>
      <c r="DQ78" s="365"/>
      <c r="DR78" s="365"/>
      <c r="DS78" s="365"/>
      <c r="DT78" s="365"/>
      <c r="DU78" s="365"/>
      <c r="DV78" s="365"/>
      <c r="DW78" s="365"/>
      <c r="DX78" s="365"/>
      <c r="DY78" s="365"/>
      <c r="DZ78" s="365"/>
      <c r="EA78" s="365"/>
      <c r="EB78" s="365"/>
      <c r="EC78" s="365"/>
      <c r="ED78" s="365"/>
      <c r="EE78" s="365"/>
      <c r="EF78" s="365"/>
      <c r="EG78" s="365"/>
      <c r="EH78" s="365"/>
      <c r="EI78" s="365"/>
      <c r="EJ78" s="365"/>
      <c r="EK78" s="365"/>
      <c r="EL78" s="365"/>
      <c r="EM78" s="365"/>
      <c r="EN78" s="365"/>
      <c r="EO78" s="365"/>
      <c r="EP78" s="365"/>
      <c r="EQ78" s="365"/>
      <c r="ER78" s="365"/>
      <c r="ES78" s="365"/>
      <c r="ET78" s="365"/>
      <c r="EU78" s="365"/>
      <c r="EV78" s="365"/>
      <c r="EW78" s="365"/>
      <c r="EX78" s="365"/>
      <c r="EY78" s="365"/>
      <c r="EZ78" s="365"/>
      <c r="FA78" s="365"/>
      <c r="FB78" s="365"/>
      <c r="FC78" s="365"/>
      <c r="FD78" s="365"/>
      <c r="FE78" s="365"/>
      <c r="FF78" s="365"/>
      <c r="FG78" s="365"/>
      <c r="FH78" s="365"/>
      <c r="FI78" s="365"/>
      <c r="FJ78" s="365"/>
      <c r="FK78" s="365"/>
      <c r="FL78" s="365"/>
      <c r="FM78" s="365"/>
      <c r="FN78" s="365"/>
      <c r="FO78" s="365"/>
      <c r="FP78" s="365"/>
      <c r="FQ78" s="365"/>
      <c r="FR78" s="365"/>
      <c r="FS78" s="365"/>
      <c r="FT78" s="365"/>
      <c r="FU78" s="365"/>
      <c r="FV78" s="365"/>
      <c r="FW78" s="365"/>
      <c r="FX78" s="365"/>
      <c r="FY78" s="365"/>
      <c r="FZ78" s="365"/>
      <c r="GA78" s="365"/>
      <c r="GB78" s="365"/>
      <c r="GC78" s="365"/>
      <c r="GD78" s="365"/>
      <c r="GE78" s="365"/>
      <c r="GF78" s="365"/>
      <c r="GG78" s="365"/>
      <c r="GH78" s="365"/>
      <c r="GI78" s="365"/>
      <c r="GJ78" s="365"/>
      <c r="GK78" s="365"/>
      <c r="GL78" s="365"/>
      <c r="GM78" s="365"/>
      <c r="GN78" s="365"/>
      <c r="GO78" s="365"/>
      <c r="GP78" s="365"/>
      <c r="GQ78" s="365"/>
      <c r="GR78" s="365"/>
      <c r="GS78" s="365"/>
      <c r="GT78" s="365"/>
      <c r="GU78" s="365"/>
      <c r="GV78" s="365"/>
      <c r="GW78" s="365"/>
      <c r="GX78" s="365"/>
      <c r="GY78" s="365"/>
      <c r="GZ78" s="365"/>
      <c r="HA78" s="365"/>
      <c r="HB78" s="365"/>
      <c r="HC78" s="365"/>
      <c r="HD78" s="365"/>
      <c r="HE78" s="365"/>
      <c r="HF78" s="365"/>
      <c r="HG78" s="365"/>
      <c r="HH78" s="365"/>
      <c r="HI78" s="365"/>
      <c r="HJ78" s="365"/>
      <c r="HK78" s="365"/>
      <c r="HL78" s="365"/>
      <c r="HM78" s="365"/>
      <c r="HN78" s="365"/>
      <c r="HO78" s="365"/>
      <c r="HP78" s="365"/>
      <c r="HQ78" s="365"/>
      <c r="HR78" s="365"/>
      <c r="HS78" s="365"/>
      <c r="HT78" s="365"/>
      <c r="HU78" s="365"/>
      <c r="HV78" s="365"/>
      <c r="HW78" s="365"/>
      <c r="HX78" s="365"/>
      <c r="HY78" s="365"/>
    </row>
    <row r="79" spans="1:233" ht="13.5" thickBot="1">
      <c r="A79" s="378"/>
      <c r="B79" s="327" t="s">
        <v>137</v>
      </c>
      <c r="C79" s="905">
        <f>'Existing Management Practices'!C74</f>
        <v>0</v>
      </c>
      <c r="D79" s="906">
        <f>'Existing Management Practices'!D74</f>
        <v>0.51</v>
      </c>
      <c r="E79" s="906">
        <f>'Existing Management Practices'!E74</f>
        <v>0.7</v>
      </c>
      <c r="F79" s="906">
        <f>'Existing Management Practices'!F74</f>
        <v>0.9</v>
      </c>
      <c r="G79" s="907">
        <f>'Existing Management Practices'!G74</f>
        <v>0.9</v>
      </c>
      <c r="H79" s="431"/>
      <c r="I79" s="365"/>
      <c r="J79" s="365"/>
      <c r="K79" s="365"/>
      <c r="L79" s="365"/>
      <c r="M79" s="365"/>
      <c r="N79" s="365"/>
      <c r="O79" s="365"/>
      <c r="P79" s="365"/>
      <c r="Q79" s="365"/>
      <c r="R79" s="365"/>
      <c r="S79" s="365"/>
      <c r="T79" s="365"/>
      <c r="U79" s="365"/>
      <c r="V79" s="365"/>
      <c r="W79" s="365"/>
      <c r="X79" s="365"/>
      <c r="Y79" s="365"/>
      <c r="Z79" s="365"/>
      <c r="AA79" s="365"/>
      <c r="AB79" s="365"/>
      <c r="AC79" s="365"/>
      <c r="AD79" s="365"/>
      <c r="AE79" s="365"/>
      <c r="AF79" s="365"/>
      <c r="AG79" s="365"/>
      <c r="AH79" s="365"/>
      <c r="AI79" s="365"/>
      <c r="AJ79" s="365"/>
      <c r="AK79" s="365"/>
      <c r="AL79" s="365"/>
      <c r="AM79" s="365"/>
      <c r="AN79" s="365"/>
      <c r="AO79" s="365"/>
      <c r="AP79" s="365"/>
      <c r="AQ79" s="365"/>
      <c r="AR79" s="365"/>
      <c r="AS79" s="365"/>
      <c r="AT79" s="365"/>
      <c r="AU79" s="365"/>
      <c r="AV79" s="365"/>
      <c r="AW79" s="365"/>
      <c r="AX79" s="365"/>
      <c r="AY79" s="365"/>
      <c r="AZ79" s="365"/>
      <c r="BA79" s="365"/>
      <c r="BB79" s="365"/>
      <c r="BC79" s="365"/>
      <c r="BD79" s="365"/>
      <c r="BE79" s="365"/>
      <c r="BF79" s="365"/>
      <c r="BG79" s="365"/>
      <c r="BH79" s="365"/>
      <c r="BI79" s="365"/>
      <c r="BJ79" s="365"/>
      <c r="BK79" s="365"/>
      <c r="BL79" s="365"/>
      <c r="BM79" s="365"/>
      <c r="BN79" s="365"/>
      <c r="BO79" s="365"/>
      <c r="BP79" s="365"/>
      <c r="BQ79" s="365"/>
      <c r="BR79" s="365"/>
      <c r="BS79" s="365"/>
      <c r="BT79" s="365"/>
      <c r="BU79" s="365"/>
      <c r="BV79" s="365"/>
      <c r="BW79" s="365"/>
      <c r="BX79" s="365"/>
      <c r="BY79" s="365"/>
      <c r="BZ79" s="365"/>
      <c r="CA79" s="365"/>
      <c r="CB79" s="365"/>
      <c r="CC79" s="365"/>
      <c r="CD79" s="365"/>
      <c r="CE79" s="365"/>
      <c r="CF79" s="365"/>
      <c r="CG79" s="365"/>
      <c r="CH79" s="365"/>
      <c r="CI79" s="365"/>
      <c r="CJ79" s="365"/>
      <c r="CK79" s="365"/>
      <c r="CL79" s="365"/>
      <c r="CM79" s="365"/>
      <c r="CN79" s="365"/>
      <c r="CO79" s="365"/>
      <c r="CP79" s="365"/>
      <c r="CQ79" s="365"/>
      <c r="CR79" s="365"/>
      <c r="CS79" s="365"/>
      <c r="CT79" s="365"/>
      <c r="CU79" s="365"/>
      <c r="CV79" s="365"/>
      <c r="CW79" s="365"/>
      <c r="CX79" s="365"/>
      <c r="CY79" s="365"/>
      <c r="CZ79" s="365"/>
      <c r="DA79" s="365"/>
      <c r="DB79" s="365"/>
      <c r="DC79" s="365"/>
      <c r="DD79" s="365"/>
      <c r="DE79" s="365"/>
      <c r="DF79" s="365"/>
      <c r="DG79" s="365"/>
      <c r="DH79" s="365"/>
      <c r="DI79" s="365"/>
      <c r="DJ79" s="365"/>
      <c r="DK79" s="365"/>
      <c r="DL79" s="365"/>
      <c r="DM79" s="365"/>
      <c r="DN79" s="365"/>
      <c r="DO79" s="365"/>
      <c r="DP79" s="365"/>
      <c r="DQ79" s="365"/>
      <c r="DR79" s="365"/>
      <c r="DS79" s="365"/>
      <c r="DT79" s="365"/>
      <c r="DU79" s="365"/>
      <c r="DV79" s="365"/>
      <c r="DW79" s="365"/>
      <c r="DX79" s="365"/>
      <c r="DY79" s="365"/>
      <c r="DZ79" s="365"/>
      <c r="EA79" s="365"/>
      <c r="EB79" s="365"/>
      <c r="EC79" s="365"/>
      <c r="ED79" s="365"/>
      <c r="EE79" s="365"/>
      <c r="EF79" s="365"/>
      <c r="EG79" s="365"/>
      <c r="EH79" s="365"/>
      <c r="EI79" s="365"/>
      <c r="EJ79" s="365"/>
      <c r="EK79" s="365"/>
      <c r="EL79" s="365"/>
      <c r="EM79" s="365"/>
      <c r="EN79" s="365"/>
      <c r="EO79" s="365"/>
      <c r="EP79" s="365"/>
      <c r="EQ79" s="365"/>
      <c r="ER79" s="365"/>
      <c r="ES79" s="365"/>
      <c r="ET79" s="365"/>
      <c r="EU79" s="365"/>
      <c r="EV79" s="365"/>
      <c r="EW79" s="365"/>
      <c r="EX79" s="365"/>
      <c r="EY79" s="365"/>
      <c r="EZ79" s="365"/>
      <c r="FA79" s="365"/>
      <c r="FB79" s="365"/>
      <c r="FC79" s="365"/>
      <c r="FD79" s="365"/>
      <c r="FE79" s="365"/>
      <c r="FF79" s="365"/>
      <c r="FG79" s="365"/>
      <c r="FH79" s="365"/>
      <c r="FI79" s="365"/>
      <c r="FJ79" s="365"/>
      <c r="FK79" s="365"/>
      <c r="FL79" s="365"/>
      <c r="FM79" s="365"/>
      <c r="FN79" s="365"/>
      <c r="FO79" s="365"/>
      <c r="FP79" s="365"/>
      <c r="FQ79" s="365"/>
      <c r="FR79" s="365"/>
      <c r="FS79" s="365"/>
      <c r="FT79" s="365"/>
      <c r="FU79" s="365"/>
      <c r="FV79" s="365"/>
      <c r="FW79" s="365"/>
      <c r="FX79" s="365"/>
      <c r="FY79" s="365"/>
      <c r="FZ79" s="365"/>
      <c r="GA79" s="365"/>
      <c r="GB79" s="365"/>
      <c r="GC79" s="365"/>
      <c r="GD79" s="365"/>
      <c r="GE79" s="365"/>
      <c r="GF79" s="365"/>
      <c r="GG79" s="365"/>
      <c r="GH79" s="365"/>
      <c r="GI79" s="365"/>
      <c r="GJ79" s="365"/>
      <c r="GK79" s="365"/>
      <c r="GL79" s="365"/>
      <c r="GM79" s="365"/>
      <c r="GN79" s="365"/>
      <c r="GO79" s="365"/>
      <c r="GP79" s="365"/>
      <c r="GQ79" s="365"/>
      <c r="GR79" s="365"/>
      <c r="GS79" s="365"/>
      <c r="GT79" s="365"/>
      <c r="GU79" s="365"/>
      <c r="GV79" s="365"/>
      <c r="GW79" s="365"/>
      <c r="GX79" s="365"/>
      <c r="GY79" s="365"/>
      <c r="GZ79" s="365"/>
      <c r="HA79" s="365"/>
      <c r="HB79" s="365"/>
      <c r="HC79" s="365"/>
      <c r="HD79" s="365"/>
      <c r="HE79" s="365"/>
      <c r="HF79" s="365"/>
      <c r="HG79" s="365"/>
      <c r="HH79" s="365"/>
      <c r="HI79" s="365"/>
      <c r="HJ79" s="365"/>
      <c r="HK79" s="365"/>
      <c r="HL79" s="365"/>
      <c r="HM79" s="365"/>
      <c r="HN79" s="365"/>
      <c r="HO79" s="365"/>
      <c r="HP79" s="365"/>
      <c r="HQ79" s="365"/>
      <c r="HR79" s="365"/>
      <c r="HS79" s="365"/>
      <c r="HT79" s="365"/>
      <c r="HU79" s="365"/>
      <c r="HV79" s="365"/>
      <c r="HW79" s="365"/>
      <c r="HX79" s="365"/>
      <c r="HY79" s="365"/>
    </row>
    <row r="80" spans="1:233" ht="13.5" thickBot="1">
      <c r="A80" s="378"/>
      <c r="B80" s="104" t="s">
        <v>138</v>
      </c>
      <c r="C80" s="330">
        <f>SUM(C73:C79)</f>
        <v>0</v>
      </c>
      <c r="D80" s="331">
        <f>IF($C80&gt;0,SUMPRODUCT($C73:$C79,D73:D79)/$C80,0)</f>
        <v>0</v>
      </c>
      <c r="E80" s="331">
        <f>IF($C80&gt;0,SUMPRODUCT($C73:$C79,E73:E79)/$C80,0)</f>
        <v>0</v>
      </c>
      <c r="F80" s="331">
        <f>IF($C80&gt;0,SUMPRODUCT($C73:$C79,F73:F79)/$C80,0)</f>
        <v>0</v>
      </c>
      <c r="G80" s="332">
        <f>IF($C80&gt;0,SUMPRODUCT($C73:$C79,G73:G79)/$C80,0)</f>
        <v>0</v>
      </c>
      <c r="H80" s="471"/>
      <c r="I80" s="365"/>
      <c r="J80" s="365"/>
      <c r="K80" s="365"/>
      <c r="L80" s="365"/>
      <c r="M80" s="365"/>
      <c r="N80" s="365"/>
      <c r="O80" s="365"/>
      <c r="P80" s="365"/>
      <c r="Q80" s="365"/>
      <c r="R80" s="365"/>
      <c r="S80" s="365"/>
      <c r="T80" s="365"/>
      <c r="U80" s="365"/>
      <c r="V80" s="365"/>
      <c r="W80" s="365"/>
      <c r="X80" s="365"/>
      <c r="Y80" s="365"/>
      <c r="Z80" s="365"/>
      <c r="AA80" s="365"/>
      <c r="AB80" s="365"/>
      <c r="AC80" s="365"/>
      <c r="AD80" s="365"/>
      <c r="AE80" s="365"/>
      <c r="AF80" s="365"/>
      <c r="AG80" s="365"/>
      <c r="AH80" s="365"/>
      <c r="AI80" s="365"/>
      <c r="AJ80" s="365"/>
      <c r="AK80" s="365"/>
      <c r="AL80" s="365"/>
      <c r="AM80" s="365"/>
      <c r="AN80" s="365"/>
      <c r="AO80" s="365"/>
      <c r="AP80" s="365"/>
      <c r="AQ80" s="365"/>
      <c r="AR80" s="365"/>
      <c r="AS80" s="365"/>
      <c r="AT80" s="365"/>
      <c r="AU80" s="365"/>
      <c r="AV80" s="365"/>
      <c r="AW80" s="365"/>
      <c r="AX80" s="365"/>
      <c r="AY80" s="365"/>
      <c r="AZ80" s="365"/>
      <c r="BA80" s="365"/>
      <c r="BB80" s="365"/>
      <c r="BC80" s="365"/>
      <c r="BD80" s="365"/>
      <c r="BE80" s="365"/>
      <c r="BF80" s="365"/>
      <c r="BG80" s="365"/>
      <c r="BH80" s="365"/>
      <c r="BI80" s="365"/>
      <c r="BJ80" s="365"/>
      <c r="BK80" s="365"/>
      <c r="BL80" s="365"/>
      <c r="BM80" s="365"/>
      <c r="BN80" s="365"/>
      <c r="BO80" s="365"/>
      <c r="BP80" s="365"/>
      <c r="BQ80" s="365"/>
      <c r="BR80" s="365"/>
      <c r="BS80" s="365"/>
      <c r="BT80" s="365"/>
      <c r="BU80" s="365"/>
      <c r="BV80" s="365"/>
      <c r="BW80" s="365"/>
      <c r="BX80" s="365"/>
      <c r="BY80" s="365"/>
      <c r="BZ80" s="365"/>
      <c r="CA80" s="365"/>
      <c r="CB80" s="365"/>
      <c r="CC80" s="365"/>
      <c r="CD80" s="365"/>
      <c r="CE80" s="365"/>
      <c r="CF80" s="365"/>
      <c r="CG80" s="365"/>
      <c r="CH80" s="365"/>
      <c r="CI80" s="365"/>
      <c r="CJ80" s="365"/>
      <c r="CK80" s="365"/>
      <c r="CL80" s="365"/>
      <c r="CM80" s="365"/>
      <c r="CN80" s="365"/>
      <c r="CO80" s="365"/>
      <c r="CP80" s="365"/>
      <c r="CQ80" s="365"/>
      <c r="CR80" s="365"/>
      <c r="CS80" s="365"/>
      <c r="CT80" s="365"/>
      <c r="CU80" s="365"/>
      <c r="CV80" s="365"/>
      <c r="CW80" s="365"/>
      <c r="CX80" s="365"/>
      <c r="CY80" s="365"/>
      <c r="CZ80" s="365"/>
      <c r="DA80" s="365"/>
      <c r="DB80" s="365"/>
      <c r="DC80" s="365"/>
      <c r="DD80" s="365"/>
      <c r="DE80" s="365"/>
      <c r="DF80" s="365"/>
      <c r="DG80" s="365"/>
      <c r="DH80" s="365"/>
      <c r="DI80" s="365"/>
      <c r="DJ80" s="365"/>
      <c r="DK80" s="365"/>
      <c r="DL80" s="365"/>
      <c r="DM80" s="365"/>
      <c r="DN80" s="365"/>
      <c r="DO80" s="365"/>
      <c r="DP80" s="365"/>
      <c r="DQ80" s="365"/>
      <c r="DR80" s="365"/>
      <c r="DS80" s="365"/>
      <c r="DT80" s="365"/>
      <c r="DU80" s="365"/>
      <c r="DV80" s="365"/>
      <c r="DW80" s="365"/>
      <c r="DX80" s="365"/>
      <c r="DY80" s="365"/>
      <c r="DZ80" s="365"/>
      <c r="EA80" s="365"/>
      <c r="EB80" s="365"/>
      <c r="EC80" s="365"/>
      <c r="ED80" s="365"/>
      <c r="EE80" s="365"/>
      <c r="EF80" s="365"/>
      <c r="EG80" s="365"/>
      <c r="EH80" s="365"/>
      <c r="EI80" s="365"/>
      <c r="EJ80" s="365"/>
      <c r="EK80" s="365"/>
      <c r="EL80" s="365"/>
      <c r="EM80" s="365"/>
      <c r="EN80" s="365"/>
      <c r="EO80" s="365"/>
      <c r="EP80" s="365"/>
      <c r="EQ80" s="365"/>
      <c r="ER80" s="365"/>
      <c r="ES80" s="365"/>
      <c r="ET80" s="365"/>
      <c r="EU80" s="365"/>
      <c r="EV80" s="365"/>
      <c r="EW80" s="365"/>
      <c r="EX80" s="365"/>
      <c r="EY80" s="365"/>
      <c r="EZ80" s="365"/>
      <c r="FA80" s="365"/>
      <c r="FB80" s="365"/>
      <c r="FC80" s="365"/>
      <c r="FD80" s="365"/>
      <c r="FE80" s="365"/>
      <c r="FF80" s="365"/>
      <c r="FG80" s="365"/>
      <c r="FH80" s="365"/>
      <c r="FI80" s="365"/>
      <c r="FJ80" s="365"/>
      <c r="FK80" s="365"/>
      <c r="FL80" s="365"/>
      <c r="FM80" s="365"/>
      <c r="FN80" s="365"/>
      <c r="FO80" s="365"/>
      <c r="FP80" s="365"/>
      <c r="FQ80" s="365"/>
      <c r="FR80" s="365"/>
      <c r="FS80" s="365"/>
      <c r="FT80" s="365"/>
      <c r="FU80" s="365"/>
      <c r="FV80" s="365"/>
      <c r="FW80" s="365"/>
      <c r="FX80" s="365"/>
      <c r="FY80" s="365"/>
      <c r="FZ80" s="365"/>
      <c r="GA80" s="365"/>
      <c r="GB80" s="365"/>
      <c r="GC80" s="365"/>
      <c r="GD80" s="365"/>
      <c r="GE80" s="365"/>
      <c r="GF80" s="365"/>
      <c r="GG80" s="365"/>
      <c r="GH80" s="365"/>
      <c r="GI80" s="365"/>
      <c r="GJ80" s="365"/>
      <c r="GK80" s="365"/>
      <c r="GL80" s="365"/>
      <c r="GM80" s="365"/>
      <c r="GN80" s="365"/>
      <c r="GO80" s="365"/>
      <c r="GP80" s="365"/>
      <c r="GQ80" s="365"/>
      <c r="GR80" s="365"/>
      <c r="GS80" s="365"/>
      <c r="GT80" s="365"/>
      <c r="GU80" s="365"/>
      <c r="GV80" s="365"/>
      <c r="GW80" s="365"/>
      <c r="GX80" s="365"/>
      <c r="GY80" s="365"/>
      <c r="GZ80" s="365"/>
      <c r="HA80" s="365"/>
      <c r="HB80" s="365"/>
      <c r="HC80" s="365"/>
      <c r="HD80" s="365"/>
      <c r="HE80" s="365"/>
      <c r="HF80" s="365"/>
      <c r="HG80" s="365"/>
      <c r="HH80" s="365"/>
      <c r="HI80" s="365"/>
      <c r="HJ80" s="365"/>
      <c r="HK80" s="365"/>
      <c r="HL80" s="365"/>
      <c r="HM80" s="365"/>
      <c r="HN80" s="365"/>
      <c r="HO80" s="365"/>
      <c r="HP80" s="365"/>
      <c r="HQ80" s="365"/>
      <c r="HR80" s="365"/>
      <c r="HS80" s="365"/>
      <c r="HT80" s="365"/>
      <c r="HU80" s="365"/>
      <c r="HV80" s="365"/>
      <c r="HW80" s="365"/>
      <c r="HX80" s="365"/>
      <c r="HY80" s="365"/>
    </row>
    <row r="81" spans="1:233" ht="13.5" thickBot="1">
      <c r="A81" s="378"/>
      <c r="B81" s="333"/>
      <c r="C81" s="334"/>
      <c r="D81" s="341"/>
      <c r="E81" s="341"/>
      <c r="F81" s="335"/>
      <c r="G81" s="336"/>
      <c r="H81" s="471"/>
      <c r="I81" s="365"/>
      <c r="J81" s="365"/>
      <c r="K81" s="365"/>
      <c r="L81" s="365"/>
      <c r="M81" s="365"/>
      <c r="N81" s="365"/>
      <c r="O81" s="365"/>
      <c r="P81" s="365"/>
      <c r="Q81" s="365"/>
      <c r="R81" s="365"/>
      <c r="S81" s="365"/>
      <c r="T81" s="365"/>
      <c r="U81" s="365"/>
      <c r="V81" s="365"/>
      <c r="W81" s="365"/>
      <c r="X81" s="365"/>
      <c r="Y81" s="365"/>
      <c r="Z81" s="365"/>
      <c r="AA81" s="365"/>
      <c r="AB81" s="365"/>
      <c r="AC81" s="365"/>
      <c r="AD81" s="365"/>
      <c r="AE81" s="365"/>
      <c r="AF81" s="365"/>
      <c r="AG81" s="365"/>
      <c r="AH81" s="365"/>
      <c r="AI81" s="365"/>
      <c r="AJ81" s="365"/>
      <c r="AK81" s="365"/>
      <c r="AL81" s="365"/>
      <c r="AM81" s="365"/>
      <c r="AN81" s="365"/>
      <c r="AO81" s="365"/>
      <c r="AP81" s="365"/>
      <c r="AQ81" s="365"/>
      <c r="AR81" s="365"/>
      <c r="AS81" s="365"/>
      <c r="AT81" s="365"/>
      <c r="AU81" s="365"/>
      <c r="AV81" s="365"/>
      <c r="AW81" s="365"/>
      <c r="AX81" s="365"/>
      <c r="AY81" s="365"/>
      <c r="AZ81" s="365"/>
      <c r="BA81" s="365"/>
      <c r="BB81" s="365"/>
      <c r="BC81" s="365"/>
      <c r="BD81" s="365"/>
      <c r="BE81" s="365"/>
      <c r="BF81" s="365"/>
      <c r="BG81" s="365"/>
      <c r="BH81" s="365"/>
      <c r="BI81" s="365"/>
      <c r="BJ81" s="365"/>
      <c r="BK81" s="365"/>
      <c r="BL81" s="365"/>
      <c r="BM81" s="365"/>
      <c r="BN81" s="365"/>
      <c r="BO81" s="365"/>
      <c r="BP81" s="365"/>
      <c r="BQ81" s="365"/>
      <c r="BR81" s="365"/>
      <c r="BS81" s="365"/>
      <c r="BT81" s="365"/>
      <c r="BU81" s="365"/>
      <c r="BV81" s="365"/>
      <c r="BW81" s="365"/>
      <c r="BX81" s="365"/>
      <c r="BY81" s="365"/>
      <c r="BZ81" s="365"/>
      <c r="CA81" s="365"/>
      <c r="CB81" s="365"/>
      <c r="CC81" s="365"/>
      <c r="CD81" s="365"/>
      <c r="CE81" s="365"/>
      <c r="CF81" s="365"/>
      <c r="CG81" s="365"/>
      <c r="CH81" s="365"/>
      <c r="CI81" s="365"/>
      <c r="CJ81" s="365"/>
      <c r="CK81" s="365"/>
      <c r="CL81" s="365"/>
      <c r="CM81" s="365"/>
      <c r="CN81" s="365"/>
      <c r="CO81" s="365"/>
      <c r="CP81" s="365"/>
      <c r="CQ81" s="365"/>
      <c r="CR81" s="365"/>
      <c r="CS81" s="365"/>
      <c r="CT81" s="365"/>
      <c r="CU81" s="365"/>
      <c r="CV81" s="365"/>
      <c r="CW81" s="365"/>
      <c r="CX81" s="365"/>
      <c r="CY81" s="365"/>
      <c r="CZ81" s="365"/>
      <c r="DA81" s="365"/>
      <c r="DB81" s="365"/>
      <c r="DC81" s="365"/>
      <c r="DD81" s="365"/>
      <c r="DE81" s="365"/>
      <c r="DF81" s="365"/>
      <c r="DG81" s="365"/>
      <c r="DH81" s="365"/>
      <c r="DI81" s="365"/>
      <c r="DJ81" s="365"/>
      <c r="DK81" s="365"/>
      <c r="DL81" s="365"/>
      <c r="DM81" s="365"/>
      <c r="DN81" s="365"/>
      <c r="DO81" s="365"/>
      <c r="DP81" s="365"/>
      <c r="DQ81" s="365"/>
      <c r="DR81" s="365"/>
      <c r="DS81" s="365"/>
      <c r="DT81" s="365"/>
      <c r="DU81" s="365"/>
      <c r="DV81" s="365"/>
      <c r="DW81" s="365"/>
      <c r="DX81" s="365"/>
      <c r="DY81" s="365"/>
      <c r="DZ81" s="365"/>
      <c r="EA81" s="365"/>
      <c r="EB81" s="365"/>
      <c r="EC81" s="365"/>
      <c r="ED81" s="365"/>
      <c r="EE81" s="365"/>
      <c r="EF81" s="365"/>
      <c r="EG81" s="365"/>
      <c r="EH81" s="365"/>
      <c r="EI81" s="365"/>
      <c r="EJ81" s="365"/>
      <c r="EK81" s="365"/>
      <c r="EL81" s="365"/>
      <c r="EM81" s="365"/>
      <c r="EN81" s="365"/>
      <c r="EO81" s="365"/>
      <c r="EP81" s="365"/>
      <c r="EQ81" s="365"/>
      <c r="ER81" s="365"/>
      <c r="ES81" s="365"/>
      <c r="ET81" s="365"/>
      <c r="EU81" s="365"/>
      <c r="EV81" s="365"/>
      <c r="EW81" s="365"/>
      <c r="EX81" s="365"/>
      <c r="EY81" s="365"/>
      <c r="EZ81" s="365"/>
      <c r="FA81" s="365"/>
      <c r="FB81" s="365"/>
      <c r="FC81" s="365"/>
      <c r="FD81" s="365"/>
      <c r="FE81" s="365"/>
      <c r="FF81" s="365"/>
      <c r="FG81" s="365"/>
      <c r="FH81" s="365"/>
      <c r="FI81" s="365"/>
      <c r="FJ81" s="365"/>
      <c r="FK81" s="365"/>
      <c r="FL81" s="365"/>
      <c r="FM81" s="365"/>
      <c r="FN81" s="365"/>
      <c r="FO81" s="365"/>
      <c r="FP81" s="365"/>
      <c r="FQ81" s="365"/>
      <c r="FR81" s="365"/>
      <c r="FS81" s="365"/>
      <c r="FT81" s="365"/>
      <c r="FU81" s="365"/>
      <c r="FV81" s="365"/>
      <c r="FW81" s="365"/>
      <c r="FX81" s="365"/>
      <c r="FY81" s="365"/>
      <c r="FZ81" s="365"/>
      <c r="GA81" s="365"/>
      <c r="GB81" s="365"/>
      <c r="GC81" s="365"/>
      <c r="GD81" s="365"/>
      <c r="GE81" s="365"/>
      <c r="GF81" s="365"/>
      <c r="GG81" s="365"/>
      <c r="GH81" s="365"/>
      <c r="GI81" s="365"/>
      <c r="GJ81" s="365"/>
      <c r="GK81" s="365"/>
      <c r="GL81" s="365"/>
      <c r="GM81" s="365"/>
      <c r="GN81" s="365"/>
      <c r="GO81" s="365"/>
      <c r="GP81" s="365"/>
      <c r="GQ81" s="365"/>
      <c r="GR81" s="365"/>
      <c r="GS81" s="365"/>
      <c r="GT81" s="365"/>
      <c r="GU81" s="365"/>
      <c r="GV81" s="365"/>
      <c r="GW81" s="365"/>
      <c r="GX81" s="365"/>
      <c r="GY81" s="365"/>
      <c r="GZ81" s="365"/>
      <c r="HA81" s="365"/>
      <c r="HB81" s="365"/>
      <c r="HC81" s="365"/>
      <c r="HD81" s="365"/>
      <c r="HE81" s="365"/>
      <c r="HF81" s="365"/>
      <c r="HG81" s="365"/>
      <c r="HH81" s="365"/>
      <c r="HI81" s="365"/>
      <c r="HJ81" s="365"/>
      <c r="HK81" s="365"/>
      <c r="HL81" s="365"/>
      <c r="HM81" s="365"/>
      <c r="HN81" s="365"/>
      <c r="HO81" s="365"/>
      <c r="HP81" s="365"/>
      <c r="HQ81" s="365"/>
      <c r="HR81" s="365"/>
      <c r="HS81" s="365"/>
      <c r="HT81" s="365"/>
      <c r="HU81" s="365"/>
      <c r="HV81" s="365"/>
      <c r="HW81" s="365"/>
      <c r="HX81" s="365"/>
      <c r="HY81" s="365"/>
    </row>
    <row r="82" spans="1:233" ht="12.75">
      <c r="A82" s="378"/>
      <c r="B82" s="348" t="s">
        <v>254</v>
      </c>
      <c r="C82" s="241" t="s">
        <v>251</v>
      </c>
      <c r="D82" s="241" t="s">
        <v>252</v>
      </c>
      <c r="E82" s="343" t="s">
        <v>253</v>
      </c>
      <c r="F82" s="337"/>
      <c r="G82" s="338"/>
      <c r="H82" s="471"/>
      <c r="I82" s="365"/>
      <c r="J82" s="365"/>
      <c r="K82" s="365"/>
      <c r="L82" s="365"/>
      <c r="M82" s="365"/>
      <c r="N82" s="365"/>
      <c r="O82" s="365"/>
      <c r="P82" s="365"/>
      <c r="Q82" s="365"/>
      <c r="R82" s="365"/>
      <c r="S82" s="365"/>
      <c r="T82" s="365"/>
      <c r="U82" s="365"/>
      <c r="V82" s="365"/>
      <c r="W82" s="365"/>
      <c r="X82" s="365"/>
      <c r="Y82" s="365"/>
      <c r="Z82" s="365"/>
      <c r="AA82" s="365"/>
      <c r="AB82" s="365"/>
      <c r="AC82" s="365"/>
      <c r="AD82" s="365"/>
      <c r="AE82" s="365"/>
      <c r="AF82" s="365"/>
      <c r="AG82" s="365"/>
      <c r="AH82" s="365"/>
      <c r="AI82" s="365"/>
      <c r="AJ82" s="365"/>
      <c r="AK82" s="365"/>
      <c r="AL82" s="365"/>
      <c r="AM82" s="365"/>
      <c r="AN82" s="365"/>
      <c r="AO82" s="365"/>
      <c r="AP82" s="365"/>
      <c r="AQ82" s="365"/>
      <c r="AR82" s="365"/>
      <c r="AS82" s="365"/>
      <c r="AT82" s="365"/>
      <c r="AU82" s="365"/>
      <c r="AV82" s="365"/>
      <c r="AW82" s="365"/>
      <c r="AX82" s="365"/>
      <c r="AY82" s="365"/>
      <c r="AZ82" s="365"/>
      <c r="BA82" s="365"/>
      <c r="BB82" s="365"/>
      <c r="BC82" s="365"/>
      <c r="BD82" s="365"/>
      <c r="BE82" s="365"/>
      <c r="BF82" s="365"/>
      <c r="BG82" s="365"/>
      <c r="BH82" s="365"/>
      <c r="BI82" s="365"/>
      <c r="BJ82" s="365"/>
      <c r="BK82" s="365"/>
      <c r="BL82" s="365"/>
      <c r="BM82" s="365"/>
      <c r="BN82" s="365"/>
      <c r="BO82" s="365"/>
      <c r="BP82" s="365"/>
      <c r="BQ82" s="365"/>
      <c r="BR82" s="365"/>
      <c r="BS82" s="365"/>
      <c r="BT82" s="365"/>
      <c r="BU82" s="365"/>
      <c r="BV82" s="365"/>
      <c r="BW82" s="365"/>
      <c r="BX82" s="365"/>
      <c r="BY82" s="365"/>
      <c r="BZ82" s="365"/>
      <c r="CA82" s="365"/>
      <c r="CB82" s="365"/>
      <c r="CC82" s="365"/>
      <c r="CD82" s="365"/>
      <c r="CE82" s="365"/>
      <c r="CF82" s="365"/>
      <c r="CG82" s="365"/>
      <c r="CH82" s="365"/>
      <c r="CI82" s="365"/>
      <c r="CJ82" s="365"/>
      <c r="CK82" s="365"/>
      <c r="CL82" s="365"/>
      <c r="CM82" s="365"/>
      <c r="CN82" s="365"/>
      <c r="CO82" s="365"/>
      <c r="CP82" s="365"/>
      <c r="CQ82" s="365"/>
      <c r="CR82" s="365"/>
      <c r="CS82" s="365"/>
      <c r="CT82" s="365"/>
      <c r="CU82" s="365"/>
      <c r="CV82" s="365"/>
      <c r="CW82" s="365"/>
      <c r="CX82" s="365"/>
      <c r="CY82" s="365"/>
      <c r="CZ82" s="365"/>
      <c r="DA82" s="365"/>
      <c r="DB82" s="365"/>
      <c r="DC82" s="365"/>
      <c r="DD82" s="365"/>
      <c r="DE82" s="365"/>
      <c r="DF82" s="365"/>
      <c r="DG82" s="365"/>
      <c r="DH82" s="365"/>
      <c r="DI82" s="365"/>
      <c r="DJ82" s="365"/>
      <c r="DK82" s="365"/>
      <c r="DL82" s="365"/>
      <c r="DM82" s="365"/>
      <c r="DN82" s="365"/>
      <c r="DO82" s="365"/>
      <c r="DP82" s="365"/>
      <c r="DQ82" s="365"/>
      <c r="DR82" s="365"/>
      <c r="DS82" s="365"/>
      <c r="DT82" s="365"/>
      <c r="DU82" s="365"/>
      <c r="DV82" s="365"/>
      <c r="DW82" s="365"/>
      <c r="DX82" s="365"/>
      <c r="DY82" s="365"/>
      <c r="DZ82" s="365"/>
      <c r="EA82" s="365"/>
      <c r="EB82" s="365"/>
      <c r="EC82" s="365"/>
      <c r="ED82" s="365"/>
      <c r="EE82" s="365"/>
      <c r="EF82" s="365"/>
      <c r="EG82" s="365"/>
      <c r="EH82" s="365"/>
      <c r="EI82" s="365"/>
      <c r="EJ82" s="365"/>
      <c r="EK82" s="365"/>
      <c r="EL82" s="365"/>
      <c r="EM82" s="365"/>
      <c r="EN82" s="365"/>
      <c r="EO82" s="365"/>
      <c r="EP82" s="365"/>
      <c r="EQ82" s="365"/>
      <c r="ER82" s="365"/>
      <c r="ES82" s="365"/>
      <c r="ET82" s="365"/>
      <c r="EU82" s="365"/>
      <c r="EV82" s="365"/>
      <c r="EW82" s="365"/>
      <c r="EX82" s="365"/>
      <c r="EY82" s="365"/>
      <c r="EZ82" s="365"/>
      <c r="FA82" s="365"/>
      <c r="FB82" s="365"/>
      <c r="FC82" s="365"/>
      <c r="FD82" s="365"/>
      <c r="FE82" s="365"/>
      <c r="FF82" s="365"/>
      <c r="FG82" s="365"/>
      <c r="FH82" s="365"/>
      <c r="FI82" s="365"/>
      <c r="FJ82" s="365"/>
      <c r="FK82" s="365"/>
      <c r="FL82" s="365"/>
      <c r="FM82" s="365"/>
      <c r="FN82" s="365"/>
      <c r="FO82" s="365"/>
      <c r="FP82" s="365"/>
      <c r="FQ82" s="365"/>
      <c r="FR82" s="365"/>
      <c r="FS82" s="365"/>
      <c r="FT82" s="365"/>
      <c r="FU82" s="365"/>
      <c r="FV82" s="365"/>
      <c r="FW82" s="365"/>
      <c r="FX82" s="365"/>
      <c r="FY82" s="365"/>
      <c r="FZ82" s="365"/>
      <c r="GA82" s="365"/>
      <c r="GB82" s="365"/>
      <c r="GC82" s="365"/>
      <c r="GD82" s="365"/>
      <c r="GE82" s="365"/>
      <c r="GF82" s="365"/>
      <c r="GG82" s="365"/>
      <c r="GH82" s="365"/>
      <c r="GI82" s="365"/>
      <c r="GJ82" s="365"/>
      <c r="GK82" s="365"/>
      <c r="GL82" s="365"/>
      <c r="GM82" s="365"/>
      <c r="GN82" s="365"/>
      <c r="GO82" s="365"/>
      <c r="GP82" s="365"/>
      <c r="GQ82" s="365"/>
      <c r="GR82" s="365"/>
      <c r="GS82" s="365"/>
      <c r="GT82" s="365"/>
      <c r="GU82" s="365"/>
      <c r="GV82" s="365"/>
      <c r="GW82" s="365"/>
      <c r="GX82" s="365"/>
      <c r="GY82" s="365"/>
      <c r="GZ82" s="365"/>
      <c r="HA82" s="365"/>
      <c r="HB82" s="365"/>
      <c r="HC82" s="365"/>
      <c r="HD82" s="365"/>
      <c r="HE82" s="365"/>
      <c r="HF82" s="365"/>
      <c r="HG82" s="365"/>
      <c r="HH82" s="365"/>
      <c r="HI82" s="365"/>
      <c r="HJ82" s="365"/>
      <c r="HK82" s="365"/>
      <c r="HL82" s="365"/>
      <c r="HM82" s="365"/>
      <c r="HN82" s="365"/>
      <c r="HO82" s="365"/>
      <c r="HP82" s="365"/>
      <c r="HQ82" s="365"/>
      <c r="HR82" s="365"/>
      <c r="HS82" s="365"/>
      <c r="HT82" s="365"/>
      <c r="HU82" s="365"/>
      <c r="HV82" s="365"/>
      <c r="HW82" s="365"/>
      <c r="HX82" s="365"/>
      <c r="HY82" s="365"/>
    </row>
    <row r="83" spans="1:233" s="900" customFormat="1" ht="13.5" thickBot="1">
      <c r="A83" s="892"/>
      <c r="B83" s="893" t="e">
        <f>C80/'Primary Sources'!D54/'Primary Sources'!E54*100</f>
        <v>#DIV/0!</v>
      </c>
      <c r="C83" s="894">
        <f>'Existing Management Practices'!C78</f>
        <v>0</v>
      </c>
      <c r="D83" s="894">
        <f>'Existing Management Practices'!D78</f>
        <v>0</v>
      </c>
      <c r="E83" s="895">
        <f>'Existing Management Practices'!E78</f>
        <v>0</v>
      </c>
      <c r="F83" s="896"/>
      <c r="G83" s="897"/>
      <c r="H83" s="898"/>
      <c r="I83" s="899"/>
      <c r="J83" s="899"/>
      <c r="K83" s="899"/>
      <c r="L83" s="899"/>
      <c r="M83" s="899"/>
      <c r="N83" s="899"/>
      <c r="O83" s="899"/>
      <c r="P83" s="899"/>
      <c r="Q83" s="899"/>
      <c r="R83" s="899"/>
      <c r="S83" s="899"/>
      <c r="T83" s="899"/>
      <c r="U83" s="899"/>
      <c r="V83" s="899"/>
      <c r="W83" s="899"/>
      <c r="X83" s="899"/>
      <c r="Y83" s="899"/>
      <c r="Z83" s="899"/>
      <c r="AA83" s="899"/>
      <c r="AB83" s="899"/>
      <c r="AC83" s="899"/>
      <c r="AD83" s="899"/>
      <c r="AE83" s="899"/>
      <c r="AF83" s="899"/>
      <c r="AG83" s="899"/>
      <c r="AH83" s="899"/>
      <c r="AI83" s="899"/>
      <c r="AJ83" s="899"/>
      <c r="AK83" s="899"/>
      <c r="AL83" s="899"/>
      <c r="AM83" s="899"/>
      <c r="AN83" s="899"/>
      <c r="AO83" s="899"/>
      <c r="AP83" s="899"/>
      <c r="AQ83" s="899"/>
      <c r="AR83" s="899"/>
      <c r="AS83" s="899"/>
      <c r="AT83" s="899"/>
      <c r="AU83" s="899"/>
      <c r="AV83" s="899"/>
      <c r="AW83" s="899"/>
      <c r="AX83" s="899"/>
      <c r="AY83" s="899"/>
      <c r="AZ83" s="899"/>
      <c r="BA83" s="899"/>
      <c r="BB83" s="899"/>
      <c r="BC83" s="899"/>
      <c r="BD83" s="899"/>
      <c r="BE83" s="899"/>
      <c r="BF83" s="899"/>
      <c r="BG83" s="899"/>
      <c r="BH83" s="899"/>
      <c r="BI83" s="899"/>
      <c r="BJ83" s="899"/>
      <c r="BK83" s="899"/>
      <c r="BL83" s="899"/>
      <c r="BM83" s="899"/>
      <c r="BN83" s="899"/>
      <c r="BO83" s="899"/>
      <c r="BP83" s="899"/>
      <c r="BQ83" s="899"/>
      <c r="BR83" s="899"/>
      <c r="BS83" s="899"/>
      <c r="BT83" s="899"/>
      <c r="BU83" s="899"/>
      <c r="BV83" s="899"/>
      <c r="BW83" s="899"/>
      <c r="BX83" s="899"/>
      <c r="BY83" s="899"/>
      <c r="BZ83" s="899"/>
      <c r="CA83" s="899"/>
      <c r="CB83" s="899"/>
      <c r="CC83" s="899"/>
      <c r="CD83" s="899"/>
      <c r="CE83" s="899"/>
      <c r="CF83" s="899"/>
      <c r="CG83" s="899"/>
      <c r="CH83" s="899"/>
      <c r="CI83" s="899"/>
      <c r="CJ83" s="899"/>
      <c r="CK83" s="899"/>
      <c r="CL83" s="899"/>
      <c r="CM83" s="899"/>
      <c r="CN83" s="899"/>
      <c r="CO83" s="899"/>
      <c r="CP83" s="899"/>
      <c r="CQ83" s="899"/>
      <c r="CR83" s="899"/>
      <c r="CS83" s="899"/>
      <c r="CT83" s="899"/>
      <c r="CU83" s="899"/>
      <c r="CV83" s="899"/>
      <c r="CW83" s="899"/>
      <c r="CX83" s="899"/>
      <c r="CY83" s="899"/>
      <c r="CZ83" s="899"/>
      <c r="DA83" s="899"/>
      <c r="DB83" s="899"/>
      <c r="DC83" s="899"/>
      <c r="DD83" s="899"/>
      <c r="DE83" s="899"/>
      <c r="DF83" s="899"/>
      <c r="DG83" s="899"/>
      <c r="DH83" s="899"/>
      <c r="DI83" s="899"/>
      <c r="DJ83" s="899"/>
      <c r="DK83" s="899"/>
      <c r="DL83" s="899"/>
      <c r="DM83" s="899"/>
      <c r="DN83" s="899"/>
      <c r="DO83" s="899"/>
      <c r="DP83" s="899"/>
      <c r="DQ83" s="899"/>
      <c r="DR83" s="899"/>
      <c r="DS83" s="899"/>
      <c r="DT83" s="899"/>
      <c r="DU83" s="899"/>
      <c r="DV83" s="899"/>
      <c r="DW83" s="899"/>
      <c r="DX83" s="899"/>
      <c r="DY83" s="899"/>
      <c r="DZ83" s="899"/>
      <c r="EA83" s="899"/>
      <c r="EB83" s="899"/>
      <c r="EC83" s="899"/>
      <c r="ED83" s="899"/>
      <c r="EE83" s="899"/>
      <c r="EF83" s="899"/>
      <c r="EG83" s="899"/>
      <c r="EH83" s="899"/>
      <c r="EI83" s="899"/>
      <c r="EJ83" s="899"/>
      <c r="EK83" s="899"/>
      <c r="EL83" s="899"/>
      <c r="EM83" s="899"/>
      <c r="EN83" s="899"/>
      <c r="EO83" s="899"/>
      <c r="EP83" s="899"/>
      <c r="EQ83" s="899"/>
      <c r="ER83" s="899"/>
      <c r="ES83" s="899"/>
      <c r="ET83" s="899"/>
      <c r="EU83" s="899"/>
      <c r="EV83" s="899"/>
      <c r="EW83" s="899"/>
      <c r="EX83" s="899"/>
      <c r="EY83" s="899"/>
      <c r="EZ83" s="899"/>
      <c r="FA83" s="899"/>
      <c r="FB83" s="899"/>
      <c r="FC83" s="899"/>
      <c r="FD83" s="899"/>
      <c r="FE83" s="899"/>
      <c r="FF83" s="899"/>
      <c r="FG83" s="899"/>
      <c r="FH83" s="899"/>
      <c r="FI83" s="899"/>
      <c r="FJ83" s="899"/>
      <c r="FK83" s="899"/>
      <c r="FL83" s="899"/>
      <c r="FM83" s="899"/>
      <c r="FN83" s="899"/>
      <c r="FO83" s="899"/>
      <c r="FP83" s="899"/>
      <c r="FQ83" s="899"/>
      <c r="FR83" s="899"/>
      <c r="FS83" s="899"/>
      <c r="FT83" s="899"/>
      <c r="FU83" s="899"/>
      <c r="FV83" s="899"/>
      <c r="FW83" s="899"/>
      <c r="FX83" s="899"/>
      <c r="FY83" s="899"/>
      <c r="FZ83" s="899"/>
      <c r="GA83" s="899"/>
      <c r="GB83" s="899"/>
      <c r="GC83" s="899"/>
      <c r="GD83" s="899"/>
      <c r="GE83" s="899"/>
      <c r="GF83" s="899"/>
      <c r="GG83" s="899"/>
      <c r="GH83" s="899"/>
      <c r="GI83" s="899"/>
      <c r="GJ83" s="899"/>
      <c r="GK83" s="899"/>
      <c r="GL83" s="899"/>
      <c r="GM83" s="899"/>
      <c r="GN83" s="899"/>
      <c r="GO83" s="899"/>
      <c r="GP83" s="899"/>
      <c r="GQ83" s="899"/>
      <c r="GR83" s="899"/>
      <c r="GS83" s="899"/>
      <c r="GT83" s="899"/>
      <c r="GU83" s="899"/>
      <c r="GV83" s="899"/>
      <c r="GW83" s="899"/>
      <c r="GX83" s="899"/>
      <c r="GY83" s="899"/>
      <c r="GZ83" s="899"/>
      <c r="HA83" s="899"/>
      <c r="HB83" s="899"/>
      <c r="HC83" s="899"/>
      <c r="HD83" s="899"/>
      <c r="HE83" s="899"/>
      <c r="HF83" s="899"/>
      <c r="HG83" s="899"/>
      <c r="HH83" s="899"/>
      <c r="HI83" s="899"/>
      <c r="HJ83" s="899"/>
      <c r="HK83" s="899"/>
      <c r="HL83" s="899"/>
      <c r="HM83" s="899"/>
      <c r="HN83" s="899"/>
      <c r="HO83" s="899"/>
      <c r="HP83" s="899"/>
      <c r="HQ83" s="899"/>
      <c r="HR83" s="899"/>
      <c r="HS83" s="899"/>
      <c r="HT83" s="899"/>
      <c r="HU83" s="899"/>
      <c r="HV83" s="899"/>
      <c r="HW83" s="899"/>
      <c r="HX83" s="899"/>
      <c r="HY83" s="899"/>
    </row>
    <row r="84" spans="1:8" s="365" customFormat="1" ht="13.5" thickBot="1">
      <c r="A84" s="378"/>
      <c r="B84" s="350"/>
      <c r="C84" s="256"/>
      <c r="D84" s="256"/>
      <c r="E84" s="351"/>
      <c r="F84" s="352"/>
      <c r="G84" s="353"/>
      <c r="H84" s="471"/>
    </row>
    <row r="85" spans="1:8" s="365" customFormat="1" ht="14.25" thickBot="1" thickTop="1">
      <c r="A85" s="394"/>
      <c r="E85" s="387"/>
      <c r="F85" s="387"/>
      <c r="G85" s="387"/>
      <c r="H85" s="368"/>
    </row>
    <row r="86" spans="1:233" ht="21.75" thickBot="1" thickTop="1">
      <c r="A86" s="394"/>
      <c r="B86" s="442" t="s">
        <v>86</v>
      </c>
      <c r="C86" s="467"/>
      <c r="D86" s="465"/>
      <c r="E86" s="462"/>
      <c r="F86" s="462"/>
      <c r="G86" s="377"/>
      <c r="H86" s="377"/>
      <c r="I86" s="365"/>
      <c r="J86" s="365"/>
      <c r="K86" s="365"/>
      <c r="L86" s="365"/>
      <c r="M86" s="365"/>
      <c r="N86" s="365"/>
      <c r="O86" s="365"/>
      <c r="P86" s="365"/>
      <c r="Q86" s="365"/>
      <c r="R86" s="365"/>
      <c r="S86" s="365"/>
      <c r="T86" s="365"/>
      <c r="U86" s="365"/>
      <c r="V86" s="365"/>
      <c r="W86" s="365"/>
      <c r="X86" s="365"/>
      <c r="Y86" s="365"/>
      <c r="Z86" s="365"/>
      <c r="AA86" s="365"/>
      <c r="AB86" s="365"/>
      <c r="AC86" s="365"/>
      <c r="AD86" s="365"/>
      <c r="AE86" s="365"/>
      <c r="AF86" s="365"/>
      <c r="AG86" s="365"/>
      <c r="AH86" s="365"/>
      <c r="AI86" s="365"/>
      <c r="AJ86" s="365"/>
      <c r="AK86" s="365"/>
      <c r="AL86" s="365"/>
      <c r="AM86" s="365"/>
      <c r="AN86" s="365"/>
      <c r="AO86" s="365"/>
      <c r="AP86" s="365"/>
      <c r="AQ86" s="365"/>
      <c r="AR86" s="365"/>
      <c r="AS86" s="365"/>
      <c r="AT86" s="365"/>
      <c r="AU86" s="365"/>
      <c r="AV86" s="365"/>
      <c r="AW86" s="365"/>
      <c r="AX86" s="365"/>
      <c r="AY86" s="365"/>
      <c r="AZ86" s="365"/>
      <c r="BA86" s="365"/>
      <c r="BB86" s="365"/>
      <c r="BC86" s="365"/>
      <c r="BD86" s="365"/>
      <c r="BE86" s="365"/>
      <c r="BF86" s="365"/>
      <c r="BG86" s="365"/>
      <c r="BH86" s="365"/>
      <c r="BI86" s="365"/>
      <c r="BJ86" s="365"/>
      <c r="BK86" s="365"/>
      <c r="BL86" s="365"/>
      <c r="BM86" s="365"/>
      <c r="BN86" s="365"/>
      <c r="BO86" s="365"/>
      <c r="BP86" s="365"/>
      <c r="BQ86" s="365"/>
      <c r="BR86" s="365"/>
      <c r="BS86" s="365"/>
      <c r="BT86" s="365"/>
      <c r="BU86" s="365"/>
      <c r="BV86" s="365"/>
      <c r="BW86" s="365"/>
      <c r="BX86" s="365"/>
      <c r="BY86" s="365"/>
      <c r="BZ86" s="365"/>
      <c r="CA86" s="365"/>
      <c r="CB86" s="365"/>
      <c r="CC86" s="365"/>
      <c r="CD86" s="365"/>
      <c r="CE86" s="365"/>
      <c r="CF86" s="365"/>
      <c r="CG86" s="365"/>
      <c r="CH86" s="365"/>
      <c r="CI86" s="365"/>
      <c r="CJ86" s="365"/>
      <c r="CK86" s="365"/>
      <c r="CL86" s="365"/>
      <c r="CM86" s="365"/>
      <c r="CN86" s="365"/>
      <c r="CO86" s="365"/>
      <c r="CP86" s="365"/>
      <c r="CQ86" s="365"/>
      <c r="CR86" s="365"/>
      <c r="CS86" s="365"/>
      <c r="CT86" s="365"/>
      <c r="CU86" s="365"/>
      <c r="CV86" s="365"/>
      <c r="CW86" s="365"/>
      <c r="CX86" s="365"/>
      <c r="CY86" s="365"/>
      <c r="CZ86" s="365"/>
      <c r="DA86" s="365"/>
      <c r="DB86" s="365"/>
      <c r="DC86" s="365"/>
      <c r="DD86" s="365"/>
      <c r="DE86" s="365"/>
      <c r="DF86" s="365"/>
      <c r="DG86" s="365"/>
      <c r="DH86" s="365"/>
      <c r="DI86" s="365"/>
      <c r="DJ86" s="365"/>
      <c r="DK86" s="365"/>
      <c r="DL86" s="365"/>
      <c r="DM86" s="365"/>
      <c r="DN86" s="365"/>
      <c r="DO86" s="365"/>
      <c r="DP86" s="365"/>
      <c r="DQ86" s="365"/>
      <c r="DR86" s="365"/>
      <c r="DS86" s="365"/>
      <c r="DT86" s="365"/>
      <c r="DU86" s="365"/>
      <c r="DV86" s="365"/>
      <c r="DW86" s="365"/>
      <c r="DX86" s="365"/>
      <c r="DY86" s="365"/>
      <c r="DZ86" s="365"/>
      <c r="EA86" s="365"/>
      <c r="EB86" s="365"/>
      <c r="EC86" s="365"/>
      <c r="ED86" s="365"/>
      <c r="EE86" s="365"/>
      <c r="EF86" s="365"/>
      <c r="EG86" s="365"/>
      <c r="EH86" s="365"/>
      <c r="EI86" s="365"/>
      <c r="EJ86" s="365"/>
      <c r="EK86" s="365"/>
      <c r="EL86" s="365"/>
      <c r="EM86" s="365"/>
      <c r="EN86" s="365"/>
      <c r="EO86" s="365"/>
      <c r="EP86" s="365"/>
      <c r="EQ86" s="365"/>
      <c r="ER86" s="365"/>
      <c r="ES86" s="365"/>
      <c r="ET86" s="365"/>
      <c r="EU86" s="365"/>
      <c r="EV86" s="365"/>
      <c r="EW86" s="365"/>
      <c r="EX86" s="365"/>
      <c r="EY86" s="365"/>
      <c r="EZ86" s="365"/>
      <c r="FA86" s="365"/>
      <c r="FB86" s="365"/>
      <c r="FC86" s="365"/>
      <c r="FD86" s="365"/>
      <c r="FE86" s="365"/>
      <c r="FF86" s="365"/>
      <c r="FG86" s="365"/>
      <c r="FH86" s="365"/>
      <c r="FI86" s="365"/>
      <c r="FJ86" s="365"/>
      <c r="FK86" s="365"/>
      <c r="FL86" s="365"/>
      <c r="FM86" s="365"/>
      <c r="FN86" s="365"/>
      <c r="FO86" s="365"/>
      <c r="FP86" s="365"/>
      <c r="FQ86" s="365"/>
      <c r="FR86" s="365"/>
      <c r="FS86" s="365"/>
      <c r="FT86" s="365"/>
      <c r="FU86" s="365"/>
      <c r="FV86" s="365"/>
      <c r="FW86" s="365"/>
      <c r="FX86" s="365"/>
      <c r="FY86" s="365"/>
      <c r="FZ86" s="365"/>
      <c r="GA86" s="365"/>
      <c r="GB86" s="365"/>
      <c r="GC86" s="365"/>
      <c r="GD86" s="365"/>
      <c r="GE86" s="365"/>
      <c r="GF86" s="365"/>
      <c r="GG86" s="365"/>
      <c r="GH86" s="365"/>
      <c r="GI86" s="365"/>
      <c r="GJ86" s="365"/>
      <c r="GK86" s="365"/>
      <c r="GL86" s="365"/>
      <c r="GM86" s="365"/>
      <c r="GN86" s="365"/>
      <c r="GO86" s="365"/>
      <c r="GP86" s="365"/>
      <c r="GQ86" s="365"/>
      <c r="GR86" s="365"/>
      <c r="GS86" s="365"/>
      <c r="GT86" s="365"/>
      <c r="GU86" s="365"/>
      <c r="GV86" s="365"/>
      <c r="GW86" s="365"/>
      <c r="GX86" s="365"/>
      <c r="GY86" s="365"/>
      <c r="GZ86" s="365"/>
      <c r="HA86" s="365"/>
      <c r="HB86" s="365"/>
      <c r="HC86" s="365"/>
      <c r="HD86" s="365"/>
      <c r="HE86" s="365"/>
      <c r="HF86" s="365"/>
      <c r="HG86" s="365"/>
      <c r="HH86" s="365"/>
      <c r="HI86" s="365"/>
      <c r="HJ86" s="365"/>
      <c r="HK86" s="365"/>
      <c r="HL86" s="365"/>
      <c r="HM86" s="365"/>
      <c r="HN86" s="365"/>
      <c r="HO86" s="365"/>
      <c r="HP86" s="365"/>
      <c r="HQ86" s="365"/>
      <c r="HR86" s="365"/>
      <c r="HS86" s="365"/>
      <c r="HT86" s="365"/>
      <c r="HU86" s="365"/>
      <c r="HV86" s="365"/>
      <c r="HW86" s="365"/>
      <c r="HX86" s="365"/>
      <c r="HY86" s="365"/>
    </row>
    <row r="87" spans="1:233" ht="13.5" thickBot="1">
      <c r="A87" s="394"/>
      <c r="B87" s="196"/>
      <c r="D87" s="255"/>
      <c r="E87" s="378"/>
      <c r="F87" s="377"/>
      <c r="G87" s="378"/>
      <c r="H87" s="365"/>
      <c r="I87" s="365"/>
      <c r="J87" s="365"/>
      <c r="K87" s="365"/>
      <c r="L87" s="365"/>
      <c r="M87" s="365"/>
      <c r="N87" s="365"/>
      <c r="O87" s="365"/>
      <c r="P87" s="365"/>
      <c r="Q87" s="365"/>
      <c r="R87" s="365"/>
      <c r="S87" s="365"/>
      <c r="T87" s="365"/>
      <c r="U87" s="365"/>
      <c r="V87" s="365"/>
      <c r="W87" s="365"/>
      <c r="X87" s="365"/>
      <c r="Y87" s="365"/>
      <c r="Z87" s="365"/>
      <c r="AA87" s="365"/>
      <c r="AB87" s="365"/>
      <c r="AC87" s="365"/>
      <c r="AD87" s="365"/>
      <c r="AE87" s="365"/>
      <c r="AF87" s="365"/>
      <c r="AG87" s="365"/>
      <c r="AH87" s="365"/>
      <c r="AI87" s="365"/>
      <c r="AJ87" s="365"/>
      <c r="AK87" s="365"/>
      <c r="AL87" s="365"/>
      <c r="AM87" s="365"/>
      <c r="AN87" s="365"/>
      <c r="AO87" s="365"/>
      <c r="AP87" s="365"/>
      <c r="AQ87" s="365"/>
      <c r="AR87" s="365"/>
      <c r="AS87" s="365"/>
      <c r="AT87" s="365"/>
      <c r="AU87" s="365"/>
      <c r="AV87" s="365"/>
      <c r="AW87" s="365"/>
      <c r="AX87" s="365"/>
      <c r="AY87" s="365"/>
      <c r="AZ87" s="365"/>
      <c r="BA87" s="365"/>
      <c r="BB87" s="365"/>
      <c r="BC87" s="365"/>
      <c r="BD87" s="365"/>
      <c r="BE87" s="365"/>
      <c r="BF87" s="365"/>
      <c r="BG87" s="365"/>
      <c r="BH87" s="365"/>
      <c r="BI87" s="365"/>
      <c r="BJ87" s="365"/>
      <c r="BK87" s="365"/>
      <c r="BL87" s="365"/>
      <c r="BM87" s="365"/>
      <c r="BN87" s="365"/>
      <c r="BO87" s="365"/>
      <c r="BP87" s="365"/>
      <c r="BQ87" s="365"/>
      <c r="BR87" s="365"/>
      <c r="BS87" s="365"/>
      <c r="BT87" s="365"/>
      <c r="BU87" s="365"/>
      <c r="BV87" s="365"/>
      <c r="BW87" s="365"/>
      <c r="BX87" s="365"/>
      <c r="BY87" s="365"/>
      <c r="BZ87" s="365"/>
      <c r="CA87" s="365"/>
      <c r="CB87" s="365"/>
      <c r="CC87" s="365"/>
      <c r="CD87" s="365"/>
      <c r="CE87" s="365"/>
      <c r="CF87" s="365"/>
      <c r="CG87" s="365"/>
      <c r="CH87" s="365"/>
      <c r="CI87" s="365"/>
      <c r="CJ87" s="365"/>
      <c r="CK87" s="365"/>
      <c r="CL87" s="365"/>
      <c r="CM87" s="365"/>
      <c r="CN87" s="365"/>
      <c r="CO87" s="365"/>
      <c r="CP87" s="365"/>
      <c r="CQ87" s="365"/>
      <c r="CR87" s="365"/>
      <c r="CS87" s="365"/>
      <c r="CT87" s="365"/>
      <c r="CU87" s="365"/>
      <c r="CV87" s="365"/>
      <c r="CW87" s="365"/>
      <c r="CX87" s="365"/>
      <c r="CY87" s="365"/>
      <c r="CZ87" s="365"/>
      <c r="DA87" s="365"/>
      <c r="DB87" s="365"/>
      <c r="DC87" s="365"/>
      <c r="DD87" s="365"/>
      <c r="DE87" s="365"/>
      <c r="DF87" s="365"/>
      <c r="DG87" s="365"/>
      <c r="DH87" s="365"/>
      <c r="DI87" s="365"/>
      <c r="DJ87" s="365"/>
      <c r="DK87" s="365"/>
      <c r="DL87" s="365"/>
      <c r="DM87" s="365"/>
      <c r="DN87" s="365"/>
      <c r="DO87" s="365"/>
      <c r="DP87" s="365"/>
      <c r="DQ87" s="365"/>
      <c r="DR87" s="365"/>
      <c r="DS87" s="365"/>
      <c r="DT87" s="365"/>
      <c r="DU87" s="365"/>
      <c r="DV87" s="365"/>
      <c r="DW87" s="365"/>
      <c r="DX87" s="365"/>
      <c r="DY87" s="365"/>
      <c r="DZ87" s="365"/>
      <c r="EA87" s="365"/>
      <c r="EB87" s="365"/>
      <c r="EC87" s="365"/>
      <c r="ED87" s="365"/>
      <c r="EE87" s="365"/>
      <c r="EF87" s="365"/>
      <c r="EG87" s="365"/>
      <c r="EH87" s="365"/>
      <c r="EI87" s="365"/>
      <c r="EJ87" s="365"/>
      <c r="EK87" s="365"/>
      <c r="EL87" s="365"/>
      <c r="EM87" s="365"/>
      <c r="EN87" s="365"/>
      <c r="EO87" s="365"/>
      <c r="EP87" s="365"/>
      <c r="EQ87" s="365"/>
      <c r="ER87" s="365"/>
      <c r="ES87" s="365"/>
      <c r="ET87" s="365"/>
      <c r="EU87" s="365"/>
      <c r="EV87" s="365"/>
      <c r="EW87" s="365"/>
      <c r="EX87" s="365"/>
      <c r="EY87" s="365"/>
      <c r="EZ87" s="365"/>
      <c r="FA87" s="365"/>
      <c r="FB87" s="365"/>
      <c r="FC87" s="365"/>
      <c r="FD87" s="365"/>
      <c r="FE87" s="365"/>
      <c r="FF87" s="365"/>
      <c r="FG87" s="365"/>
      <c r="FH87" s="365"/>
      <c r="FI87" s="365"/>
      <c r="FJ87" s="365"/>
      <c r="FK87" s="365"/>
      <c r="FL87" s="365"/>
      <c r="FM87" s="365"/>
      <c r="FN87" s="365"/>
      <c r="FO87" s="365"/>
      <c r="FP87" s="365"/>
      <c r="FQ87" s="365"/>
      <c r="FR87" s="365"/>
      <c r="FS87" s="365"/>
      <c r="FT87" s="365"/>
      <c r="FU87" s="365"/>
      <c r="FV87" s="365"/>
      <c r="FW87" s="365"/>
      <c r="FX87" s="365"/>
      <c r="FY87" s="365"/>
      <c r="FZ87" s="365"/>
      <c r="GA87" s="365"/>
      <c r="GB87" s="365"/>
      <c r="GC87" s="365"/>
      <c r="GD87" s="365"/>
      <c r="GE87" s="365"/>
      <c r="GF87" s="365"/>
      <c r="GG87" s="365"/>
      <c r="GH87" s="365"/>
      <c r="GI87" s="365"/>
      <c r="GJ87" s="365"/>
      <c r="GK87" s="365"/>
      <c r="GL87" s="365"/>
      <c r="GM87" s="365"/>
      <c r="GN87" s="365"/>
      <c r="GO87" s="365"/>
      <c r="GP87" s="365"/>
      <c r="GQ87" s="365"/>
      <c r="GR87" s="365"/>
      <c r="GS87" s="365"/>
      <c r="GT87" s="365"/>
      <c r="GU87" s="365"/>
      <c r="GV87" s="365"/>
      <c r="GW87" s="365"/>
      <c r="GX87" s="365"/>
      <c r="GY87" s="365"/>
      <c r="GZ87" s="365"/>
      <c r="HA87" s="365"/>
      <c r="HB87" s="365"/>
      <c r="HC87" s="365"/>
      <c r="HD87" s="365"/>
      <c r="HE87" s="365"/>
      <c r="HF87" s="365"/>
      <c r="HG87" s="365"/>
      <c r="HH87" s="365"/>
      <c r="HI87" s="365"/>
      <c r="HJ87" s="365"/>
      <c r="HK87" s="365"/>
      <c r="HL87" s="365"/>
      <c r="HM87" s="365"/>
      <c r="HN87" s="365"/>
      <c r="HO87" s="365"/>
      <c r="HP87" s="365"/>
      <c r="HQ87" s="365"/>
      <c r="HR87" s="365"/>
      <c r="HS87" s="365"/>
      <c r="HT87" s="365"/>
      <c r="HU87" s="365"/>
      <c r="HV87" s="365"/>
      <c r="HW87" s="365"/>
      <c r="HX87" s="365"/>
      <c r="HY87" s="365"/>
    </row>
    <row r="88" spans="1:233" ht="13.5" thickBot="1">
      <c r="A88" s="394"/>
      <c r="B88" s="104" t="s">
        <v>274</v>
      </c>
      <c r="C88" s="395">
        <f>'Existing Management Practices'!C83</f>
        <v>0</v>
      </c>
      <c r="D88" s="255"/>
      <c r="E88" s="378"/>
      <c r="F88" s="377"/>
      <c r="G88" s="378"/>
      <c r="H88" s="365"/>
      <c r="I88" s="365"/>
      <c r="J88" s="365"/>
      <c r="K88" s="365"/>
      <c r="L88" s="365"/>
      <c r="M88" s="365"/>
      <c r="N88" s="365"/>
      <c r="O88" s="365"/>
      <c r="P88" s="365"/>
      <c r="Q88" s="365"/>
      <c r="R88" s="365"/>
      <c r="S88" s="365"/>
      <c r="T88" s="365"/>
      <c r="U88" s="365"/>
      <c r="V88" s="365"/>
      <c r="W88" s="365"/>
      <c r="X88" s="365"/>
      <c r="Y88" s="365"/>
      <c r="Z88" s="365"/>
      <c r="AA88" s="365"/>
      <c r="AB88" s="365"/>
      <c r="AC88" s="365"/>
      <c r="AD88" s="365"/>
      <c r="AE88" s="365"/>
      <c r="AF88" s="365"/>
      <c r="AG88" s="365"/>
      <c r="AH88" s="365"/>
      <c r="AI88" s="365"/>
      <c r="AJ88" s="365"/>
      <c r="AK88" s="365"/>
      <c r="AL88" s="365"/>
      <c r="AM88" s="365"/>
      <c r="AN88" s="365"/>
      <c r="AO88" s="365"/>
      <c r="AP88" s="365"/>
      <c r="AQ88" s="365"/>
      <c r="AR88" s="365"/>
      <c r="AS88" s="365"/>
      <c r="AT88" s="365"/>
      <c r="AU88" s="365"/>
      <c r="AV88" s="365"/>
      <c r="AW88" s="365"/>
      <c r="AX88" s="365"/>
      <c r="AY88" s="365"/>
      <c r="AZ88" s="365"/>
      <c r="BA88" s="365"/>
      <c r="BB88" s="365"/>
      <c r="BC88" s="365"/>
      <c r="BD88" s="365"/>
      <c r="BE88" s="365"/>
      <c r="BF88" s="365"/>
      <c r="BG88" s="365"/>
      <c r="BH88" s="365"/>
      <c r="BI88" s="365"/>
      <c r="BJ88" s="365"/>
      <c r="BK88" s="365"/>
      <c r="BL88" s="365"/>
      <c r="BM88" s="365"/>
      <c r="BN88" s="365"/>
      <c r="BO88" s="365"/>
      <c r="BP88" s="365"/>
      <c r="BQ88" s="365"/>
      <c r="BR88" s="365"/>
      <c r="BS88" s="365"/>
      <c r="BT88" s="365"/>
      <c r="BU88" s="365"/>
      <c r="BV88" s="365"/>
      <c r="BW88" s="365"/>
      <c r="BX88" s="365"/>
      <c r="BY88" s="365"/>
      <c r="BZ88" s="365"/>
      <c r="CA88" s="365"/>
      <c r="CB88" s="365"/>
      <c r="CC88" s="365"/>
      <c r="CD88" s="365"/>
      <c r="CE88" s="365"/>
      <c r="CF88" s="365"/>
      <c r="CG88" s="365"/>
      <c r="CH88" s="365"/>
      <c r="CI88" s="365"/>
      <c r="CJ88" s="365"/>
      <c r="CK88" s="365"/>
      <c r="CL88" s="365"/>
      <c r="CM88" s="365"/>
      <c r="CN88" s="365"/>
      <c r="CO88" s="365"/>
      <c r="CP88" s="365"/>
      <c r="CQ88" s="365"/>
      <c r="CR88" s="365"/>
      <c r="CS88" s="365"/>
      <c r="CT88" s="365"/>
      <c r="CU88" s="365"/>
      <c r="CV88" s="365"/>
      <c r="CW88" s="365"/>
      <c r="CX88" s="365"/>
      <c r="CY88" s="365"/>
      <c r="CZ88" s="365"/>
      <c r="DA88" s="365"/>
      <c r="DB88" s="365"/>
      <c r="DC88" s="365"/>
      <c r="DD88" s="365"/>
      <c r="DE88" s="365"/>
      <c r="DF88" s="365"/>
      <c r="DG88" s="365"/>
      <c r="DH88" s="365"/>
      <c r="DI88" s="365"/>
      <c r="DJ88" s="365"/>
      <c r="DK88" s="365"/>
      <c r="DL88" s="365"/>
      <c r="DM88" s="365"/>
      <c r="DN88" s="365"/>
      <c r="DO88" s="365"/>
      <c r="DP88" s="365"/>
      <c r="DQ88" s="365"/>
      <c r="DR88" s="365"/>
      <c r="DS88" s="365"/>
      <c r="DT88" s="365"/>
      <c r="DU88" s="365"/>
      <c r="DV88" s="365"/>
      <c r="DW88" s="365"/>
      <c r="DX88" s="365"/>
      <c r="DY88" s="365"/>
      <c r="DZ88" s="365"/>
      <c r="EA88" s="365"/>
      <c r="EB88" s="365"/>
      <c r="EC88" s="365"/>
      <c r="ED88" s="365"/>
      <c r="EE88" s="365"/>
      <c r="EF88" s="365"/>
      <c r="EG88" s="365"/>
      <c r="EH88" s="365"/>
      <c r="EI88" s="365"/>
      <c r="EJ88" s="365"/>
      <c r="EK88" s="365"/>
      <c r="EL88" s="365"/>
      <c r="EM88" s="365"/>
      <c r="EN88" s="365"/>
      <c r="EO88" s="365"/>
      <c r="EP88" s="365"/>
      <c r="EQ88" s="365"/>
      <c r="ER88" s="365"/>
      <c r="ES88" s="365"/>
      <c r="ET88" s="365"/>
      <c r="EU88" s="365"/>
      <c r="EV88" s="365"/>
      <c r="EW88" s="365"/>
      <c r="EX88" s="365"/>
      <c r="EY88" s="365"/>
      <c r="EZ88" s="365"/>
      <c r="FA88" s="365"/>
      <c r="FB88" s="365"/>
      <c r="FC88" s="365"/>
      <c r="FD88" s="365"/>
      <c r="FE88" s="365"/>
      <c r="FF88" s="365"/>
      <c r="FG88" s="365"/>
      <c r="FH88" s="365"/>
      <c r="FI88" s="365"/>
      <c r="FJ88" s="365"/>
      <c r="FK88" s="365"/>
      <c r="FL88" s="365"/>
      <c r="FM88" s="365"/>
      <c r="FN88" s="365"/>
      <c r="FO88" s="365"/>
      <c r="FP88" s="365"/>
      <c r="FQ88" s="365"/>
      <c r="FR88" s="365"/>
      <c r="FS88" s="365"/>
      <c r="FT88" s="365"/>
      <c r="FU88" s="365"/>
      <c r="FV88" s="365"/>
      <c r="FW88" s="365"/>
      <c r="FX88" s="365"/>
      <c r="FY88" s="365"/>
      <c r="FZ88" s="365"/>
      <c r="GA88" s="365"/>
      <c r="GB88" s="365"/>
      <c r="GC88" s="365"/>
      <c r="GD88" s="365"/>
      <c r="GE88" s="365"/>
      <c r="GF88" s="365"/>
      <c r="GG88" s="365"/>
      <c r="GH88" s="365"/>
      <c r="GI88" s="365"/>
      <c r="GJ88" s="365"/>
      <c r="GK88" s="365"/>
      <c r="GL88" s="365"/>
      <c r="GM88" s="365"/>
      <c r="GN88" s="365"/>
      <c r="GO88" s="365"/>
      <c r="GP88" s="365"/>
      <c r="GQ88" s="365"/>
      <c r="GR88" s="365"/>
      <c r="GS88" s="365"/>
      <c r="GT88" s="365"/>
      <c r="GU88" s="365"/>
      <c r="GV88" s="365"/>
      <c r="GW88" s="365"/>
      <c r="GX88" s="365"/>
      <c r="GY88" s="365"/>
      <c r="GZ88" s="365"/>
      <c r="HA88" s="365"/>
      <c r="HB88" s="365"/>
      <c r="HC88" s="365"/>
      <c r="HD88" s="365"/>
      <c r="HE88" s="365"/>
      <c r="HF88" s="365"/>
      <c r="HG88" s="365"/>
      <c r="HH88" s="365"/>
      <c r="HI88" s="365"/>
      <c r="HJ88" s="365"/>
      <c r="HK88" s="365"/>
      <c r="HL88" s="365"/>
      <c r="HM88" s="365"/>
      <c r="HN88" s="365"/>
      <c r="HO88" s="365"/>
      <c r="HP88" s="365"/>
      <c r="HQ88" s="365"/>
      <c r="HR88" s="365"/>
      <c r="HS88" s="365"/>
      <c r="HT88" s="365"/>
      <c r="HU88" s="365"/>
      <c r="HV88" s="365"/>
      <c r="HW88" s="365"/>
      <c r="HX88" s="365"/>
      <c r="HY88" s="365"/>
    </row>
    <row r="89" spans="1:233" ht="13.5" thickBot="1">
      <c r="A89" s="394"/>
      <c r="B89" s="382" t="s">
        <v>297</v>
      </c>
      <c r="C89" s="395">
        <f>'Existing Management Practices'!C84</f>
        <v>0</v>
      </c>
      <c r="D89" s="255"/>
      <c r="E89" s="378"/>
      <c r="F89" s="377"/>
      <c r="G89" s="378"/>
      <c r="H89" s="365"/>
      <c r="I89" s="365"/>
      <c r="J89" s="365"/>
      <c r="K89" s="365"/>
      <c r="L89" s="365"/>
      <c r="M89" s="365"/>
      <c r="N89" s="365"/>
      <c r="O89" s="365"/>
      <c r="P89" s="365"/>
      <c r="Q89" s="365"/>
      <c r="R89" s="365"/>
      <c r="S89" s="365"/>
      <c r="T89" s="365"/>
      <c r="U89" s="365"/>
      <c r="V89" s="365"/>
      <c r="W89" s="365"/>
      <c r="X89" s="365"/>
      <c r="Y89" s="365"/>
      <c r="Z89" s="365"/>
      <c r="AA89" s="365"/>
      <c r="AB89" s="365"/>
      <c r="AC89" s="365"/>
      <c r="AD89" s="365"/>
      <c r="AE89" s="365"/>
      <c r="AF89" s="365"/>
      <c r="AG89" s="365"/>
      <c r="AH89" s="365"/>
      <c r="AI89" s="365"/>
      <c r="AJ89" s="365"/>
      <c r="AK89" s="365"/>
      <c r="AL89" s="365"/>
      <c r="AM89" s="365"/>
      <c r="AN89" s="365"/>
      <c r="AO89" s="365"/>
      <c r="AP89" s="365"/>
      <c r="AQ89" s="365"/>
      <c r="AR89" s="365"/>
      <c r="AS89" s="365"/>
      <c r="AT89" s="365"/>
      <c r="AU89" s="365"/>
      <c r="AV89" s="365"/>
      <c r="AW89" s="365"/>
      <c r="AX89" s="365"/>
      <c r="AY89" s="365"/>
      <c r="AZ89" s="365"/>
      <c r="BA89" s="365"/>
      <c r="BB89" s="365"/>
      <c r="BC89" s="365"/>
      <c r="BD89" s="365"/>
      <c r="BE89" s="365"/>
      <c r="BF89" s="365"/>
      <c r="BG89" s="365"/>
      <c r="BH89" s="365"/>
      <c r="BI89" s="365"/>
      <c r="BJ89" s="365"/>
      <c r="BK89" s="365"/>
      <c r="BL89" s="365"/>
      <c r="BM89" s="365"/>
      <c r="BN89" s="365"/>
      <c r="BO89" s="365"/>
      <c r="BP89" s="365"/>
      <c r="BQ89" s="365"/>
      <c r="BR89" s="365"/>
      <c r="BS89" s="365"/>
      <c r="BT89" s="365"/>
      <c r="BU89" s="365"/>
      <c r="BV89" s="365"/>
      <c r="BW89" s="365"/>
      <c r="BX89" s="365"/>
      <c r="BY89" s="365"/>
      <c r="BZ89" s="365"/>
      <c r="CA89" s="365"/>
      <c r="CB89" s="365"/>
      <c r="CC89" s="365"/>
      <c r="CD89" s="365"/>
      <c r="CE89" s="365"/>
      <c r="CF89" s="365"/>
      <c r="CG89" s="365"/>
      <c r="CH89" s="365"/>
      <c r="CI89" s="365"/>
      <c r="CJ89" s="365"/>
      <c r="CK89" s="365"/>
      <c r="CL89" s="365"/>
      <c r="CM89" s="365"/>
      <c r="CN89" s="365"/>
      <c r="CO89" s="365"/>
      <c r="CP89" s="365"/>
      <c r="CQ89" s="365"/>
      <c r="CR89" s="365"/>
      <c r="CS89" s="365"/>
      <c r="CT89" s="365"/>
      <c r="CU89" s="365"/>
      <c r="CV89" s="365"/>
      <c r="CW89" s="365"/>
      <c r="CX89" s="365"/>
      <c r="CY89" s="365"/>
      <c r="CZ89" s="365"/>
      <c r="DA89" s="365"/>
      <c r="DB89" s="365"/>
      <c r="DC89" s="365"/>
      <c r="DD89" s="365"/>
      <c r="DE89" s="365"/>
      <c r="DF89" s="365"/>
      <c r="DG89" s="365"/>
      <c r="DH89" s="365"/>
      <c r="DI89" s="365"/>
      <c r="DJ89" s="365"/>
      <c r="DK89" s="365"/>
      <c r="DL89" s="365"/>
      <c r="DM89" s="365"/>
      <c r="DN89" s="365"/>
      <c r="DO89" s="365"/>
      <c r="DP89" s="365"/>
      <c r="DQ89" s="365"/>
      <c r="DR89" s="365"/>
      <c r="DS89" s="365"/>
      <c r="DT89" s="365"/>
      <c r="DU89" s="365"/>
      <c r="DV89" s="365"/>
      <c r="DW89" s="365"/>
      <c r="DX89" s="365"/>
      <c r="DY89" s="365"/>
      <c r="DZ89" s="365"/>
      <c r="EA89" s="365"/>
      <c r="EB89" s="365"/>
      <c r="EC89" s="365"/>
      <c r="ED89" s="365"/>
      <c r="EE89" s="365"/>
      <c r="EF89" s="365"/>
      <c r="EG89" s="365"/>
      <c r="EH89" s="365"/>
      <c r="EI89" s="365"/>
      <c r="EJ89" s="365"/>
      <c r="EK89" s="365"/>
      <c r="EL89" s="365"/>
      <c r="EM89" s="365"/>
      <c r="EN89" s="365"/>
      <c r="EO89" s="365"/>
      <c r="EP89" s="365"/>
      <c r="EQ89" s="365"/>
      <c r="ER89" s="365"/>
      <c r="ES89" s="365"/>
      <c r="ET89" s="365"/>
      <c r="EU89" s="365"/>
      <c r="EV89" s="365"/>
      <c r="EW89" s="365"/>
      <c r="EX89" s="365"/>
      <c r="EY89" s="365"/>
      <c r="EZ89" s="365"/>
      <c r="FA89" s="365"/>
      <c r="FB89" s="365"/>
      <c r="FC89" s="365"/>
      <c r="FD89" s="365"/>
      <c r="FE89" s="365"/>
      <c r="FF89" s="365"/>
      <c r="FG89" s="365"/>
      <c r="FH89" s="365"/>
      <c r="FI89" s="365"/>
      <c r="FJ89" s="365"/>
      <c r="FK89" s="365"/>
      <c r="FL89" s="365"/>
      <c r="FM89" s="365"/>
      <c r="FN89" s="365"/>
      <c r="FO89" s="365"/>
      <c r="FP89" s="365"/>
      <c r="FQ89" s="365"/>
      <c r="FR89" s="365"/>
      <c r="FS89" s="365"/>
      <c r="FT89" s="365"/>
      <c r="FU89" s="365"/>
      <c r="FV89" s="365"/>
      <c r="FW89" s="365"/>
      <c r="FX89" s="365"/>
      <c r="FY89" s="365"/>
      <c r="FZ89" s="365"/>
      <c r="GA89" s="365"/>
      <c r="GB89" s="365"/>
      <c r="GC89" s="365"/>
      <c r="GD89" s="365"/>
      <c r="GE89" s="365"/>
      <c r="GF89" s="365"/>
      <c r="GG89" s="365"/>
      <c r="GH89" s="365"/>
      <c r="GI89" s="365"/>
      <c r="GJ89" s="365"/>
      <c r="GK89" s="365"/>
      <c r="GL89" s="365"/>
      <c r="GM89" s="365"/>
      <c r="GN89" s="365"/>
      <c r="GO89" s="365"/>
      <c r="GP89" s="365"/>
      <c r="GQ89" s="365"/>
      <c r="GR89" s="365"/>
      <c r="GS89" s="365"/>
      <c r="GT89" s="365"/>
      <c r="GU89" s="365"/>
      <c r="GV89" s="365"/>
      <c r="GW89" s="365"/>
      <c r="GX89" s="365"/>
      <c r="GY89" s="365"/>
      <c r="GZ89" s="365"/>
      <c r="HA89" s="365"/>
      <c r="HB89" s="365"/>
      <c r="HC89" s="365"/>
      <c r="HD89" s="365"/>
      <c r="HE89" s="365"/>
      <c r="HF89" s="365"/>
      <c r="HG89" s="365"/>
      <c r="HH89" s="365"/>
      <c r="HI89" s="365"/>
      <c r="HJ89" s="365"/>
      <c r="HK89" s="365"/>
      <c r="HL89" s="365"/>
      <c r="HM89" s="365"/>
      <c r="HN89" s="365"/>
      <c r="HO89" s="365"/>
      <c r="HP89" s="365"/>
      <c r="HQ89" s="365"/>
      <c r="HR89" s="365"/>
      <c r="HS89" s="365"/>
      <c r="HT89" s="365"/>
      <c r="HU89" s="365"/>
      <c r="HV89" s="365"/>
      <c r="HW89" s="365"/>
      <c r="HX89" s="365"/>
      <c r="HY89" s="365"/>
    </row>
    <row r="90" spans="1:233" ht="14.25" customHeight="1" thickBot="1">
      <c r="A90" s="394"/>
      <c r="B90" s="76"/>
      <c r="D90" s="255"/>
      <c r="E90" s="378"/>
      <c r="F90" s="377"/>
      <c r="G90" s="378"/>
      <c r="H90" s="365"/>
      <c r="I90" s="365"/>
      <c r="J90" s="365"/>
      <c r="K90" s="365"/>
      <c r="L90" s="365"/>
      <c r="M90" s="365"/>
      <c r="N90" s="365"/>
      <c r="O90" s="365"/>
      <c r="P90" s="365"/>
      <c r="Q90" s="365"/>
      <c r="R90" s="365"/>
      <c r="S90" s="365"/>
      <c r="T90" s="365"/>
      <c r="U90" s="365"/>
      <c r="V90" s="365"/>
      <c r="W90" s="365"/>
      <c r="X90" s="365"/>
      <c r="Y90" s="365"/>
      <c r="Z90" s="365"/>
      <c r="AA90" s="365"/>
      <c r="AB90" s="365"/>
      <c r="AC90" s="365"/>
      <c r="AD90" s="365"/>
      <c r="AE90" s="365"/>
      <c r="AF90" s="365"/>
      <c r="AG90" s="365"/>
      <c r="AH90" s="365"/>
      <c r="AI90" s="365"/>
      <c r="AJ90" s="365"/>
      <c r="AK90" s="365"/>
      <c r="AL90" s="365"/>
      <c r="AM90" s="365"/>
      <c r="AN90" s="365"/>
      <c r="AO90" s="365"/>
      <c r="AP90" s="365"/>
      <c r="AQ90" s="365"/>
      <c r="AR90" s="365"/>
      <c r="AS90" s="365"/>
      <c r="AT90" s="365"/>
      <c r="AU90" s="365"/>
      <c r="AV90" s="365"/>
      <c r="AW90" s="365"/>
      <c r="AX90" s="365"/>
      <c r="AY90" s="365"/>
      <c r="AZ90" s="365"/>
      <c r="BA90" s="365"/>
      <c r="BB90" s="365"/>
      <c r="BC90" s="365"/>
      <c r="BD90" s="365"/>
      <c r="BE90" s="365"/>
      <c r="BF90" s="365"/>
      <c r="BG90" s="365"/>
      <c r="BH90" s="365"/>
      <c r="BI90" s="365"/>
      <c r="BJ90" s="365"/>
      <c r="BK90" s="365"/>
      <c r="BL90" s="365"/>
      <c r="BM90" s="365"/>
      <c r="BN90" s="365"/>
      <c r="BO90" s="365"/>
      <c r="BP90" s="365"/>
      <c r="BQ90" s="365"/>
      <c r="BR90" s="365"/>
      <c r="BS90" s="365"/>
      <c r="BT90" s="365"/>
      <c r="BU90" s="365"/>
      <c r="BV90" s="365"/>
      <c r="BW90" s="365"/>
      <c r="BX90" s="365"/>
      <c r="BY90" s="365"/>
      <c r="BZ90" s="365"/>
      <c r="CA90" s="365"/>
      <c r="CB90" s="365"/>
      <c r="CC90" s="365"/>
      <c r="CD90" s="365"/>
      <c r="CE90" s="365"/>
      <c r="CF90" s="365"/>
      <c r="CG90" s="365"/>
      <c r="CH90" s="365"/>
      <c r="CI90" s="365"/>
      <c r="CJ90" s="365"/>
      <c r="CK90" s="365"/>
      <c r="CL90" s="365"/>
      <c r="CM90" s="365"/>
      <c r="CN90" s="365"/>
      <c r="CO90" s="365"/>
      <c r="CP90" s="365"/>
      <c r="CQ90" s="365"/>
      <c r="CR90" s="365"/>
      <c r="CS90" s="365"/>
      <c r="CT90" s="365"/>
      <c r="CU90" s="365"/>
      <c r="CV90" s="365"/>
      <c r="CW90" s="365"/>
      <c r="CX90" s="365"/>
      <c r="CY90" s="365"/>
      <c r="CZ90" s="365"/>
      <c r="DA90" s="365"/>
      <c r="DB90" s="365"/>
      <c r="DC90" s="365"/>
      <c r="DD90" s="365"/>
      <c r="DE90" s="365"/>
      <c r="DF90" s="365"/>
      <c r="DG90" s="365"/>
      <c r="DH90" s="365"/>
      <c r="DI90" s="365"/>
      <c r="DJ90" s="365"/>
      <c r="DK90" s="365"/>
      <c r="DL90" s="365"/>
      <c r="DM90" s="365"/>
      <c r="DN90" s="365"/>
      <c r="DO90" s="365"/>
      <c r="DP90" s="365"/>
      <c r="DQ90" s="365"/>
      <c r="DR90" s="365"/>
      <c r="DS90" s="365"/>
      <c r="DT90" s="365"/>
      <c r="DU90" s="365"/>
      <c r="DV90" s="365"/>
      <c r="DW90" s="365"/>
      <c r="DX90" s="365"/>
      <c r="DY90" s="365"/>
      <c r="DZ90" s="365"/>
      <c r="EA90" s="365"/>
      <c r="EB90" s="365"/>
      <c r="EC90" s="365"/>
      <c r="ED90" s="365"/>
      <c r="EE90" s="365"/>
      <c r="EF90" s="365"/>
      <c r="EG90" s="365"/>
      <c r="EH90" s="365"/>
      <c r="EI90" s="365"/>
      <c r="EJ90" s="365"/>
      <c r="EK90" s="365"/>
      <c r="EL90" s="365"/>
      <c r="EM90" s="365"/>
      <c r="EN90" s="365"/>
      <c r="EO90" s="365"/>
      <c r="EP90" s="365"/>
      <c r="EQ90" s="365"/>
      <c r="ER90" s="365"/>
      <c r="ES90" s="365"/>
      <c r="ET90" s="365"/>
      <c r="EU90" s="365"/>
      <c r="EV90" s="365"/>
      <c r="EW90" s="365"/>
      <c r="EX90" s="365"/>
      <c r="EY90" s="365"/>
      <c r="EZ90" s="365"/>
      <c r="FA90" s="365"/>
      <c r="FB90" s="365"/>
      <c r="FC90" s="365"/>
      <c r="FD90" s="365"/>
      <c r="FE90" s="365"/>
      <c r="FF90" s="365"/>
      <c r="FG90" s="365"/>
      <c r="FH90" s="365"/>
      <c r="FI90" s="365"/>
      <c r="FJ90" s="365"/>
      <c r="FK90" s="365"/>
      <c r="FL90" s="365"/>
      <c r="FM90" s="365"/>
      <c r="FN90" s="365"/>
      <c r="FO90" s="365"/>
      <c r="FP90" s="365"/>
      <c r="FQ90" s="365"/>
      <c r="FR90" s="365"/>
      <c r="FS90" s="365"/>
      <c r="FT90" s="365"/>
      <c r="FU90" s="365"/>
      <c r="FV90" s="365"/>
      <c r="FW90" s="365"/>
      <c r="FX90" s="365"/>
      <c r="FY90" s="365"/>
      <c r="FZ90" s="365"/>
      <c r="GA90" s="365"/>
      <c r="GB90" s="365"/>
      <c r="GC90" s="365"/>
      <c r="GD90" s="365"/>
      <c r="GE90" s="365"/>
      <c r="GF90" s="365"/>
      <c r="GG90" s="365"/>
      <c r="GH90" s="365"/>
      <c r="GI90" s="365"/>
      <c r="GJ90" s="365"/>
      <c r="GK90" s="365"/>
      <c r="GL90" s="365"/>
      <c r="GM90" s="365"/>
      <c r="GN90" s="365"/>
      <c r="GO90" s="365"/>
      <c r="GP90" s="365"/>
      <c r="GQ90" s="365"/>
      <c r="GR90" s="365"/>
      <c r="GS90" s="365"/>
      <c r="GT90" s="365"/>
      <c r="GU90" s="365"/>
      <c r="GV90" s="365"/>
      <c r="GW90" s="365"/>
      <c r="GX90" s="365"/>
      <c r="GY90" s="365"/>
      <c r="GZ90" s="365"/>
      <c r="HA90" s="365"/>
      <c r="HB90" s="365"/>
      <c r="HC90" s="365"/>
      <c r="HD90" s="365"/>
      <c r="HE90" s="365"/>
      <c r="HF90" s="365"/>
      <c r="HG90" s="365"/>
      <c r="HH90" s="365"/>
      <c r="HI90" s="365"/>
      <c r="HJ90" s="365"/>
      <c r="HK90" s="365"/>
      <c r="HL90" s="365"/>
      <c r="HM90" s="365"/>
      <c r="HN90" s="365"/>
      <c r="HO90" s="365"/>
      <c r="HP90" s="365"/>
      <c r="HQ90" s="365"/>
      <c r="HR90" s="365"/>
      <c r="HS90" s="365"/>
      <c r="HT90" s="365"/>
      <c r="HU90" s="365"/>
      <c r="HV90" s="365"/>
      <c r="HW90" s="365"/>
      <c r="HX90" s="365"/>
      <c r="HY90" s="365"/>
    </row>
    <row r="91" spans="1:233" ht="12.75">
      <c r="A91" s="394"/>
      <c r="B91" s="41"/>
      <c r="C91" s="42" t="s">
        <v>129</v>
      </c>
      <c r="D91" s="43"/>
      <c r="E91" s="378"/>
      <c r="F91" s="377"/>
      <c r="G91" s="378"/>
      <c r="H91" s="365"/>
      <c r="I91" s="365"/>
      <c r="J91" s="365"/>
      <c r="K91" s="365"/>
      <c r="L91" s="365"/>
      <c r="M91" s="365"/>
      <c r="N91" s="365"/>
      <c r="O91" s="365"/>
      <c r="P91" s="365"/>
      <c r="Q91" s="365"/>
      <c r="R91" s="365"/>
      <c r="S91" s="365"/>
      <c r="T91" s="365"/>
      <c r="U91" s="365"/>
      <c r="V91" s="365"/>
      <c r="W91" s="365"/>
      <c r="X91" s="365"/>
      <c r="Y91" s="365"/>
      <c r="Z91" s="365"/>
      <c r="AA91" s="365"/>
      <c r="AB91" s="365"/>
      <c r="AC91" s="365"/>
      <c r="AD91" s="365"/>
      <c r="AE91" s="365"/>
      <c r="AF91" s="365"/>
      <c r="AG91" s="365"/>
      <c r="AH91" s="365"/>
      <c r="AI91" s="365"/>
      <c r="AJ91" s="365"/>
      <c r="AK91" s="365"/>
      <c r="AL91" s="365"/>
      <c r="AM91" s="365"/>
      <c r="AN91" s="365"/>
      <c r="AO91" s="365"/>
      <c r="AP91" s="365"/>
      <c r="AQ91" s="365"/>
      <c r="AR91" s="365"/>
      <c r="AS91" s="365"/>
      <c r="AT91" s="365"/>
      <c r="AU91" s="365"/>
      <c r="AV91" s="365"/>
      <c r="AW91" s="365"/>
      <c r="AX91" s="365"/>
      <c r="AY91" s="365"/>
      <c r="AZ91" s="365"/>
      <c r="BA91" s="365"/>
      <c r="BB91" s="365"/>
      <c r="BC91" s="365"/>
      <c r="BD91" s="365"/>
      <c r="BE91" s="365"/>
      <c r="BF91" s="365"/>
      <c r="BG91" s="365"/>
      <c r="BH91" s="365"/>
      <c r="BI91" s="365"/>
      <c r="BJ91" s="365"/>
      <c r="BK91" s="365"/>
      <c r="BL91" s="365"/>
      <c r="BM91" s="365"/>
      <c r="BN91" s="365"/>
      <c r="BO91" s="365"/>
      <c r="BP91" s="365"/>
      <c r="BQ91" s="365"/>
      <c r="BR91" s="365"/>
      <c r="BS91" s="365"/>
      <c r="BT91" s="365"/>
      <c r="BU91" s="365"/>
      <c r="BV91" s="365"/>
      <c r="BW91" s="365"/>
      <c r="BX91" s="365"/>
      <c r="BY91" s="365"/>
      <c r="BZ91" s="365"/>
      <c r="CA91" s="365"/>
      <c r="CB91" s="365"/>
      <c r="CC91" s="365"/>
      <c r="CD91" s="365"/>
      <c r="CE91" s="365"/>
      <c r="CF91" s="365"/>
      <c r="CG91" s="365"/>
      <c r="CH91" s="365"/>
      <c r="CI91" s="365"/>
      <c r="CJ91" s="365"/>
      <c r="CK91" s="365"/>
      <c r="CL91" s="365"/>
      <c r="CM91" s="365"/>
      <c r="CN91" s="365"/>
      <c r="CO91" s="365"/>
      <c r="CP91" s="365"/>
      <c r="CQ91" s="365"/>
      <c r="CR91" s="365"/>
      <c r="CS91" s="365"/>
      <c r="CT91" s="365"/>
      <c r="CU91" s="365"/>
      <c r="CV91" s="365"/>
      <c r="CW91" s="365"/>
      <c r="CX91" s="365"/>
      <c r="CY91" s="365"/>
      <c r="CZ91" s="365"/>
      <c r="DA91" s="365"/>
      <c r="DB91" s="365"/>
      <c r="DC91" s="365"/>
      <c r="DD91" s="365"/>
      <c r="DE91" s="365"/>
      <c r="DF91" s="365"/>
      <c r="DG91" s="365"/>
      <c r="DH91" s="365"/>
      <c r="DI91" s="365"/>
      <c r="DJ91" s="365"/>
      <c r="DK91" s="365"/>
      <c r="DL91" s="365"/>
      <c r="DM91" s="365"/>
      <c r="DN91" s="365"/>
      <c r="DO91" s="365"/>
      <c r="DP91" s="365"/>
      <c r="DQ91" s="365"/>
      <c r="DR91" s="365"/>
      <c r="DS91" s="365"/>
      <c r="DT91" s="365"/>
      <c r="DU91" s="365"/>
      <c r="DV91" s="365"/>
      <c r="DW91" s="365"/>
      <c r="DX91" s="365"/>
      <c r="DY91" s="365"/>
      <c r="DZ91" s="365"/>
      <c r="EA91" s="365"/>
      <c r="EB91" s="365"/>
      <c r="EC91" s="365"/>
      <c r="ED91" s="365"/>
      <c r="EE91" s="365"/>
      <c r="EF91" s="365"/>
      <c r="EG91" s="365"/>
      <c r="EH91" s="365"/>
      <c r="EI91" s="365"/>
      <c r="EJ91" s="365"/>
      <c r="EK91" s="365"/>
      <c r="EL91" s="365"/>
      <c r="EM91" s="365"/>
      <c r="EN91" s="365"/>
      <c r="EO91" s="365"/>
      <c r="EP91" s="365"/>
      <c r="EQ91" s="365"/>
      <c r="ER91" s="365"/>
      <c r="ES91" s="365"/>
      <c r="ET91" s="365"/>
      <c r="EU91" s="365"/>
      <c r="EV91" s="365"/>
      <c r="EW91" s="365"/>
      <c r="EX91" s="365"/>
      <c r="EY91" s="365"/>
      <c r="EZ91" s="365"/>
      <c r="FA91" s="365"/>
      <c r="FB91" s="365"/>
      <c r="FC91" s="365"/>
      <c r="FD91" s="365"/>
      <c r="FE91" s="365"/>
      <c r="FF91" s="365"/>
      <c r="FG91" s="365"/>
      <c r="FH91" s="365"/>
      <c r="FI91" s="365"/>
      <c r="FJ91" s="365"/>
      <c r="FK91" s="365"/>
      <c r="FL91" s="365"/>
      <c r="FM91" s="365"/>
      <c r="FN91" s="365"/>
      <c r="FO91" s="365"/>
      <c r="FP91" s="365"/>
      <c r="FQ91" s="365"/>
      <c r="FR91" s="365"/>
      <c r="FS91" s="365"/>
      <c r="FT91" s="365"/>
      <c r="FU91" s="365"/>
      <c r="FV91" s="365"/>
      <c r="FW91" s="365"/>
      <c r="FX91" s="365"/>
      <c r="FY91" s="365"/>
      <c r="FZ91" s="365"/>
      <c r="GA91" s="365"/>
      <c r="GB91" s="365"/>
      <c r="GC91" s="365"/>
      <c r="GD91" s="365"/>
      <c r="GE91" s="365"/>
      <c r="GF91" s="365"/>
      <c r="GG91" s="365"/>
      <c r="GH91" s="365"/>
      <c r="GI91" s="365"/>
      <c r="GJ91" s="365"/>
      <c r="GK91" s="365"/>
      <c r="GL91" s="365"/>
      <c r="GM91" s="365"/>
      <c r="GN91" s="365"/>
      <c r="GO91" s="365"/>
      <c r="GP91" s="365"/>
      <c r="GQ91" s="365"/>
      <c r="GR91" s="365"/>
      <c r="GS91" s="365"/>
      <c r="GT91" s="365"/>
      <c r="GU91" s="365"/>
      <c r="GV91" s="365"/>
      <c r="GW91" s="365"/>
      <c r="GX91" s="365"/>
      <c r="GY91" s="365"/>
      <c r="GZ91" s="365"/>
      <c r="HA91" s="365"/>
      <c r="HB91" s="365"/>
      <c r="HC91" s="365"/>
      <c r="HD91" s="365"/>
      <c r="HE91" s="365"/>
      <c r="HF91" s="365"/>
      <c r="HG91" s="365"/>
      <c r="HH91" s="365"/>
      <c r="HI91" s="365"/>
      <c r="HJ91" s="365"/>
      <c r="HK91" s="365"/>
      <c r="HL91" s="365"/>
      <c r="HM91" s="365"/>
      <c r="HN91" s="365"/>
      <c r="HO91" s="365"/>
      <c r="HP91" s="365"/>
      <c r="HQ91" s="365"/>
      <c r="HR91" s="365"/>
      <c r="HS91" s="365"/>
      <c r="HT91" s="365"/>
      <c r="HU91" s="365"/>
      <c r="HV91" s="365"/>
      <c r="HW91" s="365"/>
      <c r="HX91" s="365"/>
      <c r="HY91" s="365"/>
    </row>
    <row r="92" spans="1:233" s="35" customFormat="1" ht="12.75">
      <c r="A92" s="468"/>
      <c r="B92" s="78" t="s">
        <v>4</v>
      </c>
      <c r="C92" s="85" t="s">
        <v>5</v>
      </c>
      <c r="D92" s="97" t="s">
        <v>6</v>
      </c>
      <c r="E92" s="378"/>
      <c r="F92" s="377"/>
      <c r="G92" s="378"/>
      <c r="H92" s="365"/>
      <c r="I92" s="365"/>
      <c r="J92" s="365"/>
      <c r="K92" s="447"/>
      <c r="L92" s="447"/>
      <c r="M92" s="447"/>
      <c r="N92" s="447"/>
      <c r="O92" s="447"/>
      <c r="P92" s="447"/>
      <c r="Q92" s="447"/>
      <c r="R92" s="447"/>
      <c r="S92" s="447"/>
      <c r="T92" s="447"/>
      <c r="U92" s="447"/>
      <c r="V92" s="447"/>
      <c r="W92" s="447"/>
      <c r="X92" s="447"/>
      <c r="Y92" s="447"/>
      <c r="Z92" s="447"/>
      <c r="AA92" s="447"/>
      <c r="AB92" s="447"/>
      <c r="AC92" s="447"/>
      <c r="AD92" s="447"/>
      <c r="AE92" s="447"/>
      <c r="AF92" s="447"/>
      <c r="AG92" s="447"/>
      <c r="AH92" s="447"/>
      <c r="AI92" s="447"/>
      <c r="AJ92" s="447"/>
      <c r="AK92" s="447"/>
      <c r="AL92" s="447"/>
      <c r="AM92" s="447"/>
      <c r="AN92" s="447"/>
      <c r="AO92" s="447"/>
      <c r="AP92" s="447"/>
      <c r="AQ92" s="447"/>
      <c r="AR92" s="447"/>
      <c r="AS92" s="447"/>
      <c r="AT92" s="447"/>
      <c r="AU92" s="447"/>
      <c r="AV92" s="447"/>
      <c r="AW92" s="447"/>
      <c r="AX92" s="447"/>
      <c r="AY92" s="447"/>
      <c r="AZ92" s="447"/>
      <c r="BA92" s="447"/>
      <c r="BB92" s="447"/>
      <c r="BC92" s="447"/>
      <c r="BD92" s="447"/>
      <c r="BE92" s="447"/>
      <c r="BF92" s="447"/>
      <c r="BG92" s="447"/>
      <c r="BH92" s="447"/>
      <c r="BI92" s="447"/>
      <c r="BJ92" s="447"/>
      <c r="BK92" s="447"/>
      <c r="BL92" s="447"/>
      <c r="BM92" s="447"/>
      <c r="BN92" s="447"/>
      <c r="BO92" s="447"/>
      <c r="BP92" s="447"/>
      <c r="BQ92" s="447"/>
      <c r="BR92" s="447"/>
      <c r="BS92" s="447"/>
      <c r="BT92" s="447"/>
      <c r="BU92" s="447"/>
      <c r="BV92" s="447"/>
      <c r="BW92" s="447"/>
      <c r="BX92" s="447"/>
      <c r="BY92" s="447"/>
      <c r="BZ92" s="447"/>
      <c r="CA92" s="447"/>
      <c r="CB92" s="447"/>
      <c r="CC92" s="447"/>
      <c r="CD92" s="447"/>
      <c r="CE92" s="447"/>
      <c r="CF92" s="447"/>
      <c r="CG92" s="447"/>
      <c r="CH92" s="447"/>
      <c r="CI92" s="447"/>
      <c r="CJ92" s="447"/>
      <c r="CK92" s="447"/>
      <c r="CL92" s="447"/>
      <c r="CM92" s="447"/>
      <c r="CN92" s="447"/>
      <c r="CO92" s="447"/>
      <c r="CP92" s="447"/>
      <c r="CQ92" s="447"/>
      <c r="CR92" s="447"/>
      <c r="CS92" s="447"/>
      <c r="CT92" s="447"/>
      <c r="CU92" s="447"/>
      <c r="CV92" s="447"/>
      <c r="CW92" s="447"/>
      <c r="CX92" s="447"/>
      <c r="CY92" s="447"/>
      <c r="CZ92" s="447"/>
      <c r="DA92" s="447"/>
      <c r="DB92" s="447"/>
      <c r="DC92" s="447"/>
      <c r="DD92" s="447"/>
      <c r="DE92" s="447"/>
      <c r="DF92" s="447"/>
      <c r="DG92" s="447"/>
      <c r="DH92" s="447"/>
      <c r="DI92" s="447"/>
      <c r="DJ92" s="447"/>
      <c r="DK92" s="447"/>
      <c r="DL92" s="447"/>
      <c r="DM92" s="447"/>
      <c r="DN92" s="447"/>
      <c r="DO92" s="447"/>
      <c r="DP92" s="447"/>
      <c r="DQ92" s="447"/>
      <c r="DR92" s="447"/>
      <c r="DS92" s="447"/>
      <c r="DT92" s="447"/>
      <c r="DU92" s="447"/>
      <c r="DV92" s="447"/>
      <c r="DW92" s="447"/>
      <c r="DX92" s="447"/>
      <c r="DY92" s="447"/>
      <c r="DZ92" s="447"/>
      <c r="EA92" s="447"/>
      <c r="EB92" s="447"/>
      <c r="EC92" s="447"/>
      <c r="ED92" s="447"/>
      <c r="EE92" s="447"/>
      <c r="EF92" s="447"/>
      <c r="EG92" s="447"/>
      <c r="EH92" s="447"/>
      <c r="EI92" s="447"/>
      <c r="EJ92" s="447"/>
      <c r="EK92" s="447"/>
      <c r="EL92" s="447"/>
      <c r="EM92" s="447"/>
      <c r="EN92" s="447"/>
      <c r="EO92" s="447"/>
      <c r="EP92" s="447"/>
      <c r="EQ92" s="447"/>
      <c r="ER92" s="447"/>
      <c r="ES92" s="447"/>
      <c r="ET92" s="447"/>
      <c r="EU92" s="447"/>
      <c r="EV92" s="447"/>
      <c r="EW92" s="447"/>
      <c r="EX92" s="447"/>
      <c r="EY92" s="447"/>
      <c r="EZ92" s="447"/>
      <c r="FA92" s="447"/>
      <c r="FB92" s="447"/>
      <c r="FC92" s="447"/>
      <c r="FD92" s="447"/>
      <c r="FE92" s="447"/>
      <c r="FF92" s="447"/>
      <c r="FG92" s="447"/>
      <c r="FH92" s="447"/>
      <c r="FI92" s="447"/>
      <c r="FJ92" s="447"/>
      <c r="FK92" s="447"/>
      <c r="FL92" s="447"/>
      <c r="FM92" s="447"/>
      <c r="FN92" s="447"/>
      <c r="FO92" s="447"/>
      <c r="FP92" s="447"/>
      <c r="FQ92" s="447"/>
      <c r="FR92" s="447"/>
      <c r="FS92" s="447"/>
      <c r="FT92" s="447"/>
      <c r="FU92" s="447"/>
      <c r="FV92" s="447"/>
      <c r="FW92" s="447"/>
      <c r="FX92" s="447"/>
      <c r="FY92" s="447"/>
      <c r="FZ92" s="447"/>
      <c r="GA92" s="447"/>
      <c r="GB92" s="447"/>
      <c r="GC92" s="447"/>
      <c r="GD92" s="447"/>
      <c r="GE92" s="447"/>
      <c r="GF92" s="447"/>
      <c r="GG92" s="447"/>
      <c r="GH92" s="447"/>
      <c r="GI92" s="447"/>
      <c r="GJ92" s="447"/>
      <c r="GK92" s="447"/>
      <c r="GL92" s="447"/>
      <c r="GM92" s="447"/>
      <c r="GN92" s="447"/>
      <c r="GO92" s="447"/>
      <c r="GP92" s="447"/>
      <c r="GQ92" s="447"/>
      <c r="GR92" s="447"/>
      <c r="GS92" s="447"/>
      <c r="GT92" s="447"/>
      <c r="GU92" s="447"/>
      <c r="GV92" s="447"/>
      <c r="GW92" s="447"/>
      <c r="GX92" s="447"/>
      <c r="GY92" s="447"/>
      <c r="GZ92" s="447"/>
      <c r="HA92" s="447"/>
      <c r="HB92" s="447"/>
      <c r="HC92" s="447"/>
      <c r="HD92" s="447"/>
      <c r="HE92" s="447"/>
      <c r="HF92" s="447"/>
      <c r="HG92" s="447"/>
      <c r="HH92" s="447"/>
      <c r="HI92" s="447"/>
      <c r="HJ92" s="447"/>
      <c r="HK92" s="447"/>
      <c r="HL92" s="447"/>
      <c r="HM92" s="447"/>
      <c r="HN92" s="447"/>
      <c r="HO92" s="447"/>
      <c r="HP92" s="447"/>
      <c r="HQ92" s="447"/>
      <c r="HR92" s="447"/>
      <c r="HS92" s="447"/>
      <c r="HT92" s="447"/>
      <c r="HU92" s="447"/>
      <c r="HV92" s="447"/>
      <c r="HW92" s="447"/>
      <c r="HX92" s="447"/>
      <c r="HY92" s="447"/>
    </row>
    <row r="93" spans="1:233" ht="13.5" customHeight="1" thickBot="1">
      <c r="A93" s="394"/>
      <c r="B93" s="391">
        <f>'Existing Management Practices'!B88</f>
        <v>0.3</v>
      </c>
      <c r="C93" s="388">
        <f>'Existing Management Practices'!C88</f>
        <v>0.1</v>
      </c>
      <c r="D93" s="389">
        <f>'Existing Management Practices'!D88</f>
        <v>0.7</v>
      </c>
      <c r="E93" s="393"/>
      <c r="F93" s="368"/>
      <c r="G93" s="393"/>
      <c r="H93" s="447"/>
      <c r="I93" s="447"/>
      <c r="J93" s="447"/>
      <c r="K93" s="365"/>
      <c r="L93" s="365"/>
      <c r="M93" s="365"/>
      <c r="N93" s="365"/>
      <c r="O93" s="365"/>
      <c r="P93" s="365"/>
      <c r="Q93" s="365"/>
      <c r="R93" s="365"/>
      <c r="S93" s="365"/>
      <c r="T93" s="365"/>
      <c r="U93" s="365"/>
      <c r="V93" s="365"/>
      <c r="W93" s="365"/>
      <c r="X93" s="365"/>
      <c r="Y93" s="365"/>
      <c r="Z93" s="365"/>
      <c r="AA93" s="365"/>
      <c r="AB93" s="365"/>
      <c r="AC93" s="365"/>
      <c r="AD93" s="365"/>
      <c r="AE93" s="365"/>
      <c r="AF93" s="365"/>
      <c r="AG93" s="365"/>
      <c r="AH93" s="365"/>
      <c r="AI93" s="365"/>
      <c r="AJ93" s="365"/>
      <c r="AK93" s="365"/>
      <c r="AL93" s="365"/>
      <c r="AM93" s="365"/>
      <c r="AN93" s="365"/>
      <c r="AO93" s="365"/>
      <c r="AP93" s="365"/>
      <c r="AQ93" s="365"/>
      <c r="AR93" s="365"/>
      <c r="AS93" s="365"/>
      <c r="AT93" s="365"/>
      <c r="AU93" s="365"/>
      <c r="AV93" s="365"/>
      <c r="AW93" s="365"/>
      <c r="AX93" s="365"/>
      <c r="AY93" s="365"/>
      <c r="AZ93" s="365"/>
      <c r="BA93" s="365"/>
      <c r="BB93" s="365"/>
      <c r="BC93" s="365"/>
      <c r="BD93" s="365"/>
      <c r="BE93" s="365"/>
      <c r="BF93" s="365"/>
      <c r="BG93" s="365"/>
      <c r="BH93" s="365"/>
      <c r="BI93" s="365"/>
      <c r="BJ93" s="365"/>
      <c r="BK93" s="365"/>
      <c r="BL93" s="365"/>
      <c r="BM93" s="365"/>
      <c r="BN93" s="365"/>
      <c r="BO93" s="365"/>
      <c r="BP93" s="365"/>
      <c r="BQ93" s="365"/>
      <c r="BR93" s="365"/>
      <c r="BS93" s="365"/>
      <c r="BT93" s="365"/>
      <c r="BU93" s="365"/>
      <c r="BV93" s="365"/>
      <c r="BW93" s="365"/>
      <c r="BX93" s="365"/>
      <c r="BY93" s="365"/>
      <c r="BZ93" s="365"/>
      <c r="CA93" s="365"/>
      <c r="CB93" s="365"/>
      <c r="CC93" s="365"/>
      <c r="CD93" s="365"/>
      <c r="CE93" s="365"/>
      <c r="CF93" s="365"/>
      <c r="CG93" s="365"/>
      <c r="CH93" s="365"/>
      <c r="CI93" s="365"/>
      <c r="CJ93" s="365"/>
      <c r="CK93" s="365"/>
      <c r="CL93" s="365"/>
      <c r="CM93" s="365"/>
      <c r="CN93" s="365"/>
      <c r="CO93" s="365"/>
      <c r="CP93" s="365"/>
      <c r="CQ93" s="365"/>
      <c r="CR93" s="365"/>
      <c r="CS93" s="365"/>
      <c r="CT93" s="365"/>
      <c r="CU93" s="365"/>
      <c r="CV93" s="365"/>
      <c r="CW93" s="365"/>
      <c r="CX93" s="365"/>
      <c r="CY93" s="365"/>
      <c r="CZ93" s="365"/>
      <c r="DA93" s="365"/>
      <c r="DB93" s="365"/>
      <c r="DC93" s="365"/>
      <c r="DD93" s="365"/>
      <c r="DE93" s="365"/>
      <c r="DF93" s="365"/>
      <c r="DG93" s="365"/>
      <c r="DH93" s="365"/>
      <c r="DI93" s="365"/>
      <c r="DJ93" s="365"/>
      <c r="DK93" s="365"/>
      <c r="DL93" s="365"/>
      <c r="DM93" s="365"/>
      <c r="DN93" s="365"/>
      <c r="DO93" s="365"/>
      <c r="DP93" s="365"/>
      <c r="DQ93" s="365"/>
      <c r="DR93" s="365"/>
      <c r="DS93" s="365"/>
      <c r="DT93" s="365"/>
      <c r="DU93" s="365"/>
      <c r="DV93" s="365"/>
      <c r="DW93" s="365"/>
      <c r="DX93" s="365"/>
      <c r="DY93" s="365"/>
      <c r="DZ93" s="365"/>
      <c r="EA93" s="365"/>
      <c r="EB93" s="365"/>
      <c r="EC93" s="365"/>
      <c r="ED93" s="365"/>
      <c r="EE93" s="365"/>
      <c r="EF93" s="365"/>
      <c r="EG93" s="365"/>
      <c r="EH93" s="365"/>
      <c r="EI93" s="365"/>
      <c r="EJ93" s="365"/>
      <c r="EK93" s="365"/>
      <c r="EL93" s="365"/>
      <c r="EM93" s="365"/>
      <c r="EN93" s="365"/>
      <c r="EO93" s="365"/>
      <c r="EP93" s="365"/>
      <c r="EQ93" s="365"/>
      <c r="ER93" s="365"/>
      <c r="ES93" s="365"/>
      <c r="ET93" s="365"/>
      <c r="EU93" s="365"/>
      <c r="EV93" s="365"/>
      <c r="EW93" s="365"/>
      <c r="EX93" s="365"/>
      <c r="EY93" s="365"/>
      <c r="EZ93" s="365"/>
      <c r="FA93" s="365"/>
      <c r="FB93" s="365"/>
      <c r="FC93" s="365"/>
      <c r="FD93" s="365"/>
      <c r="FE93" s="365"/>
      <c r="FF93" s="365"/>
      <c r="FG93" s="365"/>
      <c r="FH93" s="365"/>
      <c r="FI93" s="365"/>
      <c r="FJ93" s="365"/>
      <c r="FK93" s="365"/>
      <c r="FL93" s="365"/>
      <c r="FM93" s="365"/>
      <c r="FN93" s="365"/>
      <c r="FO93" s="365"/>
      <c r="FP93" s="365"/>
      <c r="FQ93" s="365"/>
      <c r="FR93" s="365"/>
      <c r="FS93" s="365"/>
      <c r="FT93" s="365"/>
      <c r="FU93" s="365"/>
      <c r="FV93" s="365"/>
      <c r="FW93" s="365"/>
      <c r="FX93" s="365"/>
      <c r="FY93" s="365"/>
      <c r="FZ93" s="365"/>
      <c r="GA93" s="365"/>
      <c r="GB93" s="365"/>
      <c r="GC93" s="365"/>
      <c r="GD93" s="365"/>
      <c r="GE93" s="365"/>
      <c r="GF93" s="365"/>
      <c r="GG93" s="365"/>
      <c r="GH93" s="365"/>
      <c r="GI93" s="365"/>
      <c r="GJ93" s="365"/>
      <c r="GK93" s="365"/>
      <c r="GL93" s="365"/>
      <c r="GM93" s="365"/>
      <c r="GN93" s="365"/>
      <c r="GO93" s="365"/>
      <c r="GP93" s="365"/>
      <c r="GQ93" s="365"/>
      <c r="GR93" s="365"/>
      <c r="GS93" s="365"/>
      <c r="GT93" s="365"/>
      <c r="GU93" s="365"/>
      <c r="GV93" s="365"/>
      <c r="GW93" s="365"/>
      <c r="GX93" s="365"/>
      <c r="GY93" s="365"/>
      <c r="GZ93" s="365"/>
      <c r="HA93" s="365"/>
      <c r="HB93" s="365"/>
      <c r="HC93" s="365"/>
      <c r="HD93" s="365"/>
      <c r="HE93" s="365"/>
      <c r="HF93" s="365"/>
      <c r="HG93" s="365"/>
      <c r="HH93" s="365"/>
      <c r="HI93" s="365"/>
      <c r="HJ93" s="365"/>
      <c r="HK93" s="365"/>
      <c r="HL93" s="365"/>
      <c r="HM93" s="365"/>
      <c r="HN93" s="365"/>
      <c r="HO93" s="365"/>
      <c r="HP93" s="365"/>
      <c r="HQ93" s="365"/>
      <c r="HR93" s="365"/>
      <c r="HS93" s="365"/>
      <c r="HT93" s="365"/>
      <c r="HU93" s="365"/>
      <c r="HV93" s="365"/>
      <c r="HW93" s="365"/>
      <c r="HX93" s="365"/>
      <c r="HY93" s="365"/>
    </row>
    <row r="94" spans="1:233" ht="13.5" thickBot="1">
      <c r="A94" s="394"/>
      <c r="B94" s="499"/>
      <c r="D94" s="383"/>
      <c r="E94" s="342"/>
      <c r="F94" s="342"/>
      <c r="G94" s="368"/>
      <c r="H94" s="378"/>
      <c r="I94" s="365"/>
      <c r="J94" s="365"/>
      <c r="K94" s="365"/>
      <c r="L94" s="365"/>
      <c r="M94" s="365"/>
      <c r="N94" s="365"/>
      <c r="O94" s="365"/>
      <c r="P94" s="365"/>
      <c r="Q94" s="365"/>
      <c r="R94" s="365"/>
      <c r="S94" s="365"/>
      <c r="T94" s="365"/>
      <c r="U94" s="365"/>
      <c r="V94" s="365"/>
      <c r="W94" s="365"/>
      <c r="X94" s="365"/>
      <c r="Y94" s="365"/>
      <c r="Z94" s="365"/>
      <c r="AA94" s="365"/>
      <c r="AB94" s="365"/>
      <c r="AC94" s="365"/>
      <c r="AD94" s="365"/>
      <c r="AE94" s="365"/>
      <c r="AF94" s="365"/>
      <c r="AG94" s="365"/>
      <c r="AH94" s="365"/>
      <c r="AI94" s="365"/>
      <c r="AJ94" s="365"/>
      <c r="AK94" s="365"/>
      <c r="AL94" s="365"/>
      <c r="AM94" s="365"/>
      <c r="AN94" s="365"/>
      <c r="AO94" s="365"/>
      <c r="AP94" s="365"/>
      <c r="AQ94" s="365"/>
      <c r="AR94" s="365"/>
      <c r="AS94" s="365"/>
      <c r="AT94" s="365"/>
      <c r="AU94" s="365"/>
      <c r="AV94" s="365"/>
      <c r="AW94" s="365"/>
      <c r="AX94" s="365"/>
      <c r="AY94" s="365"/>
      <c r="AZ94" s="365"/>
      <c r="BA94" s="365"/>
      <c r="BB94" s="365"/>
      <c r="BC94" s="365"/>
      <c r="BD94" s="365"/>
      <c r="BE94" s="365"/>
      <c r="BF94" s="365"/>
      <c r="BG94" s="365"/>
      <c r="BH94" s="365"/>
      <c r="BI94" s="365"/>
      <c r="BJ94" s="365"/>
      <c r="BK94" s="365"/>
      <c r="BL94" s="365"/>
      <c r="BM94" s="365"/>
      <c r="BN94" s="365"/>
      <c r="BO94" s="365"/>
      <c r="BP94" s="365"/>
      <c r="BQ94" s="365"/>
      <c r="BR94" s="365"/>
      <c r="BS94" s="365"/>
      <c r="BT94" s="365"/>
      <c r="BU94" s="365"/>
      <c r="BV94" s="365"/>
      <c r="BW94" s="365"/>
      <c r="BX94" s="365"/>
      <c r="BY94" s="365"/>
      <c r="BZ94" s="365"/>
      <c r="CA94" s="365"/>
      <c r="CB94" s="365"/>
      <c r="CC94" s="365"/>
      <c r="CD94" s="365"/>
      <c r="CE94" s="365"/>
      <c r="CF94" s="365"/>
      <c r="CG94" s="365"/>
      <c r="CH94" s="365"/>
      <c r="CI94" s="365"/>
      <c r="CJ94" s="365"/>
      <c r="CK94" s="365"/>
      <c r="CL94" s="365"/>
      <c r="CM94" s="365"/>
      <c r="CN94" s="365"/>
      <c r="CO94" s="365"/>
      <c r="CP94" s="365"/>
      <c r="CQ94" s="365"/>
      <c r="CR94" s="365"/>
      <c r="CS94" s="365"/>
      <c r="CT94" s="365"/>
      <c r="CU94" s="365"/>
      <c r="CV94" s="365"/>
      <c r="CW94" s="365"/>
      <c r="CX94" s="365"/>
      <c r="CY94" s="365"/>
      <c r="CZ94" s="365"/>
      <c r="DA94" s="365"/>
      <c r="DB94" s="365"/>
      <c r="DC94" s="365"/>
      <c r="DD94" s="365"/>
      <c r="DE94" s="365"/>
      <c r="DF94" s="365"/>
      <c r="DG94" s="365"/>
      <c r="DH94" s="365"/>
      <c r="DI94" s="365"/>
      <c r="DJ94" s="365"/>
      <c r="DK94" s="365"/>
      <c r="DL94" s="365"/>
      <c r="DM94" s="365"/>
      <c r="DN94" s="365"/>
      <c r="DO94" s="365"/>
      <c r="DP94" s="365"/>
      <c r="DQ94" s="365"/>
      <c r="DR94" s="365"/>
      <c r="DS94" s="365"/>
      <c r="DT94" s="365"/>
      <c r="DU94" s="365"/>
      <c r="DV94" s="365"/>
      <c r="DW94" s="365"/>
      <c r="DX94" s="365"/>
      <c r="DY94" s="365"/>
      <c r="DZ94" s="365"/>
      <c r="EA94" s="365"/>
      <c r="EB94" s="365"/>
      <c r="EC94" s="365"/>
      <c r="ED94" s="365"/>
      <c r="EE94" s="365"/>
      <c r="EF94" s="365"/>
      <c r="EG94" s="365"/>
      <c r="EH94" s="365"/>
      <c r="EI94" s="365"/>
      <c r="EJ94" s="365"/>
      <c r="EK94" s="365"/>
      <c r="EL94" s="365"/>
      <c r="EM94" s="365"/>
      <c r="EN94" s="365"/>
      <c r="EO94" s="365"/>
      <c r="EP94" s="365"/>
      <c r="EQ94" s="365"/>
      <c r="ER94" s="365"/>
      <c r="ES94" s="365"/>
      <c r="ET94" s="365"/>
      <c r="EU94" s="365"/>
      <c r="EV94" s="365"/>
      <c r="EW94" s="365"/>
      <c r="EX94" s="365"/>
      <c r="EY94" s="365"/>
      <c r="EZ94" s="365"/>
      <c r="FA94" s="365"/>
      <c r="FB94" s="365"/>
      <c r="FC94" s="365"/>
      <c r="FD94" s="365"/>
      <c r="FE94" s="365"/>
      <c r="FF94" s="365"/>
      <c r="FG94" s="365"/>
      <c r="FH94" s="365"/>
      <c r="FI94" s="365"/>
      <c r="FJ94" s="365"/>
      <c r="FK94" s="365"/>
      <c r="FL94" s="365"/>
      <c r="FM94" s="365"/>
      <c r="FN94" s="365"/>
      <c r="FO94" s="365"/>
      <c r="FP94" s="365"/>
      <c r="FQ94" s="365"/>
      <c r="FR94" s="365"/>
      <c r="FS94" s="365"/>
      <c r="FT94" s="365"/>
      <c r="FU94" s="365"/>
      <c r="FV94" s="365"/>
      <c r="FW94" s="365"/>
      <c r="FX94" s="365"/>
      <c r="FY94" s="365"/>
      <c r="FZ94" s="365"/>
      <c r="GA94" s="365"/>
      <c r="GB94" s="365"/>
      <c r="GC94" s="365"/>
      <c r="GD94" s="365"/>
      <c r="GE94" s="365"/>
      <c r="GF94" s="365"/>
      <c r="GG94" s="365"/>
      <c r="GH94" s="365"/>
      <c r="GI94" s="365"/>
      <c r="GJ94" s="365"/>
      <c r="GK94" s="365"/>
      <c r="GL94" s="365"/>
      <c r="GM94" s="365"/>
      <c r="GN94" s="365"/>
      <c r="GO94" s="365"/>
      <c r="GP94" s="365"/>
      <c r="GQ94" s="365"/>
      <c r="GR94" s="365"/>
      <c r="GS94" s="365"/>
      <c r="GT94" s="365"/>
      <c r="GU94" s="365"/>
      <c r="GV94" s="365"/>
      <c r="GW94" s="365"/>
      <c r="GX94" s="365"/>
      <c r="GY94" s="365"/>
      <c r="GZ94" s="365"/>
      <c r="HA94" s="365"/>
      <c r="HB94" s="365"/>
      <c r="HC94" s="365"/>
      <c r="HD94" s="365"/>
      <c r="HE94" s="365"/>
      <c r="HF94" s="365"/>
      <c r="HG94" s="365"/>
      <c r="HH94" s="365"/>
      <c r="HI94" s="365"/>
      <c r="HJ94" s="365"/>
      <c r="HK94" s="365"/>
      <c r="HL94" s="365"/>
      <c r="HM94" s="365"/>
      <c r="HN94" s="365"/>
      <c r="HO94" s="365"/>
      <c r="HP94" s="365"/>
      <c r="HQ94" s="365"/>
      <c r="HR94" s="365"/>
      <c r="HS94" s="365"/>
      <c r="HT94" s="365"/>
      <c r="HU94" s="365"/>
      <c r="HV94" s="365"/>
      <c r="HW94" s="365"/>
      <c r="HX94" s="365"/>
      <c r="HY94" s="365"/>
    </row>
    <row r="95" spans="1:233" ht="13.5" thickBot="1">
      <c r="A95" s="394"/>
      <c r="B95" s="41" t="s">
        <v>294</v>
      </c>
      <c r="C95" s="879" t="e">
        <f>12*C88*C89/'Primary Sources'!D54/'Primary Sources'!E54</f>
        <v>#DIV/0!</v>
      </c>
      <c r="D95" s="384"/>
      <c r="E95" s="342"/>
      <c r="F95" s="342"/>
      <c r="G95" s="368"/>
      <c r="H95" s="378"/>
      <c r="I95" s="365"/>
      <c r="J95" s="365"/>
      <c r="K95" s="365"/>
      <c r="L95" s="365"/>
      <c r="M95" s="365"/>
      <c r="N95" s="365"/>
      <c r="O95" s="365"/>
      <c r="P95" s="365"/>
      <c r="Q95" s="365"/>
      <c r="R95" s="365"/>
      <c r="S95" s="365"/>
      <c r="T95" s="365"/>
      <c r="U95" s="365"/>
      <c r="V95" s="365"/>
      <c r="W95" s="365"/>
      <c r="X95" s="365"/>
      <c r="Y95" s="365"/>
      <c r="Z95" s="365"/>
      <c r="AA95" s="365"/>
      <c r="AB95" s="365"/>
      <c r="AC95" s="365"/>
      <c r="AD95" s="365"/>
      <c r="AE95" s="365"/>
      <c r="AF95" s="365"/>
      <c r="AG95" s="365"/>
      <c r="AH95" s="365"/>
      <c r="AI95" s="365"/>
      <c r="AJ95" s="365"/>
      <c r="AK95" s="365"/>
      <c r="AL95" s="365"/>
      <c r="AM95" s="365"/>
      <c r="AN95" s="365"/>
      <c r="AO95" s="365"/>
      <c r="AP95" s="365"/>
      <c r="AQ95" s="365"/>
      <c r="AR95" s="365"/>
      <c r="AS95" s="365"/>
      <c r="AT95" s="365"/>
      <c r="AU95" s="365"/>
      <c r="AV95" s="365"/>
      <c r="AW95" s="365"/>
      <c r="AX95" s="365"/>
      <c r="AY95" s="365"/>
      <c r="AZ95" s="365"/>
      <c r="BA95" s="365"/>
      <c r="BB95" s="365"/>
      <c r="BC95" s="365"/>
      <c r="BD95" s="365"/>
      <c r="BE95" s="365"/>
      <c r="BF95" s="365"/>
      <c r="BG95" s="365"/>
      <c r="BH95" s="365"/>
      <c r="BI95" s="365"/>
      <c r="BJ95" s="365"/>
      <c r="BK95" s="365"/>
      <c r="BL95" s="365"/>
      <c r="BM95" s="365"/>
      <c r="BN95" s="365"/>
      <c r="BO95" s="365"/>
      <c r="BP95" s="365"/>
      <c r="BQ95" s="365"/>
      <c r="BR95" s="365"/>
      <c r="BS95" s="365"/>
      <c r="BT95" s="365"/>
      <c r="BU95" s="365"/>
      <c r="BV95" s="365"/>
      <c r="BW95" s="365"/>
      <c r="BX95" s="365"/>
      <c r="BY95" s="365"/>
      <c r="BZ95" s="365"/>
      <c r="CA95" s="365"/>
      <c r="CB95" s="365"/>
      <c r="CC95" s="365"/>
      <c r="CD95" s="365"/>
      <c r="CE95" s="365"/>
      <c r="CF95" s="365"/>
      <c r="CG95" s="365"/>
      <c r="CH95" s="365"/>
      <c r="CI95" s="365"/>
      <c r="CJ95" s="365"/>
      <c r="CK95" s="365"/>
      <c r="CL95" s="365"/>
      <c r="CM95" s="365"/>
      <c r="CN95" s="365"/>
      <c r="CO95" s="365"/>
      <c r="CP95" s="365"/>
      <c r="CQ95" s="365"/>
      <c r="CR95" s="365"/>
      <c r="CS95" s="365"/>
      <c r="CT95" s="365"/>
      <c r="CU95" s="365"/>
      <c r="CV95" s="365"/>
      <c r="CW95" s="365"/>
      <c r="CX95" s="365"/>
      <c r="CY95" s="365"/>
      <c r="CZ95" s="365"/>
      <c r="DA95" s="365"/>
      <c r="DB95" s="365"/>
      <c r="DC95" s="365"/>
      <c r="DD95" s="365"/>
      <c r="DE95" s="365"/>
      <c r="DF95" s="365"/>
      <c r="DG95" s="365"/>
      <c r="DH95" s="365"/>
      <c r="DI95" s="365"/>
      <c r="DJ95" s="365"/>
      <c r="DK95" s="365"/>
      <c r="DL95" s="365"/>
      <c r="DM95" s="365"/>
      <c r="DN95" s="365"/>
      <c r="DO95" s="365"/>
      <c r="DP95" s="365"/>
      <c r="DQ95" s="365"/>
      <c r="DR95" s="365"/>
      <c r="DS95" s="365"/>
      <c r="DT95" s="365"/>
      <c r="DU95" s="365"/>
      <c r="DV95" s="365"/>
      <c r="DW95" s="365"/>
      <c r="DX95" s="365"/>
      <c r="DY95" s="365"/>
      <c r="DZ95" s="365"/>
      <c r="EA95" s="365"/>
      <c r="EB95" s="365"/>
      <c r="EC95" s="365"/>
      <c r="ED95" s="365"/>
      <c r="EE95" s="365"/>
      <c r="EF95" s="365"/>
      <c r="EG95" s="365"/>
      <c r="EH95" s="365"/>
      <c r="EI95" s="365"/>
      <c r="EJ95" s="365"/>
      <c r="EK95" s="365"/>
      <c r="EL95" s="365"/>
      <c r="EM95" s="365"/>
      <c r="EN95" s="365"/>
      <c r="EO95" s="365"/>
      <c r="EP95" s="365"/>
      <c r="EQ95" s="365"/>
      <c r="ER95" s="365"/>
      <c r="ES95" s="365"/>
      <c r="ET95" s="365"/>
      <c r="EU95" s="365"/>
      <c r="EV95" s="365"/>
      <c r="EW95" s="365"/>
      <c r="EX95" s="365"/>
      <c r="EY95" s="365"/>
      <c r="EZ95" s="365"/>
      <c r="FA95" s="365"/>
      <c r="FB95" s="365"/>
      <c r="FC95" s="365"/>
      <c r="FD95" s="365"/>
      <c r="FE95" s="365"/>
      <c r="FF95" s="365"/>
      <c r="FG95" s="365"/>
      <c r="FH95" s="365"/>
      <c r="FI95" s="365"/>
      <c r="FJ95" s="365"/>
      <c r="FK95" s="365"/>
      <c r="FL95" s="365"/>
      <c r="FM95" s="365"/>
      <c r="FN95" s="365"/>
      <c r="FO95" s="365"/>
      <c r="FP95" s="365"/>
      <c r="FQ95" s="365"/>
      <c r="FR95" s="365"/>
      <c r="FS95" s="365"/>
      <c r="FT95" s="365"/>
      <c r="FU95" s="365"/>
      <c r="FV95" s="365"/>
      <c r="FW95" s="365"/>
      <c r="FX95" s="365"/>
      <c r="FY95" s="365"/>
      <c r="FZ95" s="365"/>
      <c r="GA95" s="365"/>
      <c r="GB95" s="365"/>
      <c r="GC95" s="365"/>
      <c r="GD95" s="365"/>
      <c r="GE95" s="365"/>
      <c r="GF95" s="365"/>
      <c r="GG95" s="365"/>
      <c r="GH95" s="365"/>
      <c r="GI95" s="365"/>
      <c r="GJ95" s="365"/>
      <c r="GK95" s="365"/>
      <c r="GL95" s="365"/>
      <c r="GM95" s="365"/>
      <c r="GN95" s="365"/>
      <c r="GO95" s="365"/>
      <c r="GP95" s="365"/>
      <c r="GQ95" s="365"/>
      <c r="GR95" s="365"/>
      <c r="GS95" s="365"/>
      <c r="GT95" s="365"/>
      <c r="GU95" s="365"/>
      <c r="GV95" s="365"/>
      <c r="GW95" s="365"/>
      <c r="GX95" s="365"/>
      <c r="GY95" s="365"/>
      <c r="GZ95" s="365"/>
      <c r="HA95" s="365"/>
      <c r="HB95" s="365"/>
      <c r="HC95" s="365"/>
      <c r="HD95" s="365"/>
      <c r="HE95" s="365"/>
      <c r="HF95" s="365"/>
      <c r="HG95" s="365"/>
      <c r="HH95" s="365"/>
      <c r="HI95" s="365"/>
      <c r="HJ95" s="365"/>
      <c r="HK95" s="365"/>
      <c r="HL95" s="365"/>
      <c r="HM95" s="365"/>
      <c r="HN95" s="365"/>
      <c r="HO95" s="365"/>
      <c r="HP95" s="365"/>
      <c r="HQ95" s="365"/>
      <c r="HR95" s="365"/>
      <c r="HS95" s="365"/>
      <c r="HT95" s="365"/>
      <c r="HU95" s="365"/>
      <c r="HV95" s="365"/>
      <c r="HW95" s="365"/>
      <c r="HX95" s="365"/>
      <c r="HY95" s="365"/>
    </row>
    <row r="96" spans="1:233" ht="13.5" thickBot="1">
      <c r="A96" s="394"/>
      <c r="B96" s="78" t="s">
        <v>295</v>
      </c>
      <c r="C96" s="395">
        <f>'Existing Management Practices'!C91</f>
        <v>0</v>
      </c>
      <c r="D96" s="385"/>
      <c r="E96" s="342"/>
      <c r="F96" s="342"/>
      <c r="G96" s="368"/>
      <c r="H96" s="378"/>
      <c r="I96" s="365"/>
      <c r="J96" s="365"/>
      <c r="K96" s="365"/>
      <c r="L96" s="365"/>
      <c r="M96" s="365"/>
      <c r="N96" s="365"/>
      <c r="O96" s="365"/>
      <c r="P96" s="365"/>
      <c r="Q96" s="365"/>
      <c r="R96" s="365"/>
      <c r="S96" s="365"/>
      <c r="T96" s="365"/>
      <c r="U96" s="365"/>
      <c r="V96" s="365"/>
      <c r="W96" s="365"/>
      <c r="X96" s="365"/>
      <c r="Y96" s="365"/>
      <c r="Z96" s="365"/>
      <c r="AA96" s="365"/>
      <c r="AB96" s="365"/>
      <c r="AC96" s="365"/>
      <c r="AD96" s="365"/>
      <c r="AE96" s="365"/>
      <c r="AF96" s="365"/>
      <c r="AG96" s="365"/>
      <c r="AH96" s="365"/>
      <c r="AI96" s="365"/>
      <c r="AJ96" s="365"/>
      <c r="AK96" s="365"/>
      <c r="AL96" s="365"/>
      <c r="AM96" s="365"/>
      <c r="AN96" s="365"/>
      <c r="AO96" s="365"/>
      <c r="AP96" s="365"/>
      <c r="AQ96" s="365"/>
      <c r="AR96" s="365"/>
      <c r="AS96" s="365"/>
      <c r="AT96" s="365"/>
      <c r="AU96" s="365"/>
      <c r="AV96" s="365"/>
      <c r="AW96" s="365"/>
      <c r="AX96" s="365"/>
      <c r="AY96" s="365"/>
      <c r="AZ96" s="365"/>
      <c r="BA96" s="365"/>
      <c r="BB96" s="365"/>
      <c r="BC96" s="365"/>
      <c r="BD96" s="365"/>
      <c r="BE96" s="365"/>
      <c r="BF96" s="365"/>
      <c r="BG96" s="365"/>
      <c r="BH96" s="365"/>
      <c r="BI96" s="365"/>
      <c r="BJ96" s="365"/>
      <c r="BK96" s="365"/>
      <c r="BL96" s="365"/>
      <c r="BM96" s="365"/>
      <c r="BN96" s="365"/>
      <c r="BO96" s="365"/>
      <c r="BP96" s="365"/>
      <c r="BQ96" s="365"/>
      <c r="BR96" s="365"/>
      <c r="BS96" s="365"/>
      <c r="BT96" s="365"/>
      <c r="BU96" s="365"/>
      <c r="BV96" s="365"/>
      <c r="BW96" s="365"/>
      <c r="BX96" s="365"/>
      <c r="BY96" s="365"/>
      <c r="BZ96" s="365"/>
      <c r="CA96" s="365"/>
      <c r="CB96" s="365"/>
      <c r="CC96" s="365"/>
      <c r="CD96" s="365"/>
      <c r="CE96" s="365"/>
      <c r="CF96" s="365"/>
      <c r="CG96" s="365"/>
      <c r="CH96" s="365"/>
      <c r="CI96" s="365"/>
      <c r="CJ96" s="365"/>
      <c r="CK96" s="365"/>
      <c r="CL96" s="365"/>
      <c r="CM96" s="365"/>
      <c r="CN96" s="365"/>
      <c r="CO96" s="365"/>
      <c r="CP96" s="365"/>
      <c r="CQ96" s="365"/>
      <c r="CR96" s="365"/>
      <c r="CS96" s="365"/>
      <c r="CT96" s="365"/>
      <c r="CU96" s="365"/>
      <c r="CV96" s="365"/>
      <c r="CW96" s="365"/>
      <c r="CX96" s="365"/>
      <c r="CY96" s="365"/>
      <c r="CZ96" s="365"/>
      <c r="DA96" s="365"/>
      <c r="DB96" s="365"/>
      <c r="DC96" s="365"/>
      <c r="DD96" s="365"/>
      <c r="DE96" s="365"/>
      <c r="DF96" s="365"/>
      <c r="DG96" s="365"/>
      <c r="DH96" s="365"/>
      <c r="DI96" s="365"/>
      <c r="DJ96" s="365"/>
      <c r="DK96" s="365"/>
      <c r="DL96" s="365"/>
      <c r="DM96" s="365"/>
      <c r="DN96" s="365"/>
      <c r="DO96" s="365"/>
      <c r="DP96" s="365"/>
      <c r="DQ96" s="365"/>
      <c r="DR96" s="365"/>
      <c r="DS96" s="365"/>
      <c r="DT96" s="365"/>
      <c r="DU96" s="365"/>
      <c r="DV96" s="365"/>
      <c r="DW96" s="365"/>
      <c r="DX96" s="365"/>
      <c r="DY96" s="365"/>
      <c r="DZ96" s="365"/>
      <c r="EA96" s="365"/>
      <c r="EB96" s="365"/>
      <c r="EC96" s="365"/>
      <c r="ED96" s="365"/>
      <c r="EE96" s="365"/>
      <c r="EF96" s="365"/>
      <c r="EG96" s="365"/>
      <c r="EH96" s="365"/>
      <c r="EI96" s="365"/>
      <c r="EJ96" s="365"/>
      <c r="EK96" s="365"/>
      <c r="EL96" s="365"/>
      <c r="EM96" s="365"/>
      <c r="EN96" s="365"/>
      <c r="EO96" s="365"/>
      <c r="EP96" s="365"/>
      <c r="EQ96" s="365"/>
      <c r="ER96" s="365"/>
      <c r="ES96" s="365"/>
      <c r="ET96" s="365"/>
      <c r="EU96" s="365"/>
      <c r="EV96" s="365"/>
      <c r="EW96" s="365"/>
      <c r="EX96" s="365"/>
      <c r="EY96" s="365"/>
      <c r="EZ96" s="365"/>
      <c r="FA96" s="365"/>
      <c r="FB96" s="365"/>
      <c r="FC96" s="365"/>
      <c r="FD96" s="365"/>
      <c r="FE96" s="365"/>
      <c r="FF96" s="365"/>
      <c r="FG96" s="365"/>
      <c r="FH96" s="365"/>
      <c r="FI96" s="365"/>
      <c r="FJ96" s="365"/>
      <c r="FK96" s="365"/>
      <c r="FL96" s="365"/>
      <c r="FM96" s="365"/>
      <c r="FN96" s="365"/>
      <c r="FO96" s="365"/>
      <c r="FP96" s="365"/>
      <c r="FQ96" s="365"/>
      <c r="FR96" s="365"/>
      <c r="FS96" s="365"/>
      <c r="FT96" s="365"/>
      <c r="FU96" s="365"/>
      <c r="FV96" s="365"/>
      <c r="FW96" s="365"/>
      <c r="FX96" s="365"/>
      <c r="FY96" s="365"/>
      <c r="FZ96" s="365"/>
      <c r="GA96" s="365"/>
      <c r="GB96" s="365"/>
      <c r="GC96" s="365"/>
      <c r="GD96" s="365"/>
      <c r="GE96" s="365"/>
      <c r="GF96" s="365"/>
      <c r="GG96" s="365"/>
      <c r="GH96" s="365"/>
      <c r="GI96" s="365"/>
      <c r="GJ96" s="365"/>
      <c r="GK96" s="365"/>
      <c r="GL96" s="365"/>
      <c r="GM96" s="365"/>
      <c r="GN96" s="365"/>
      <c r="GO96" s="365"/>
      <c r="GP96" s="365"/>
      <c r="GQ96" s="365"/>
      <c r="GR96" s="365"/>
      <c r="GS96" s="365"/>
      <c r="GT96" s="365"/>
      <c r="GU96" s="365"/>
      <c r="GV96" s="365"/>
      <c r="GW96" s="365"/>
      <c r="GX96" s="365"/>
      <c r="GY96" s="365"/>
      <c r="GZ96" s="365"/>
      <c r="HA96" s="365"/>
      <c r="HB96" s="365"/>
      <c r="HC96" s="365"/>
      <c r="HD96" s="365"/>
      <c r="HE96" s="365"/>
      <c r="HF96" s="365"/>
      <c r="HG96" s="365"/>
      <c r="HH96" s="365"/>
      <c r="HI96" s="365"/>
      <c r="HJ96" s="365"/>
      <c r="HK96" s="365"/>
      <c r="HL96" s="365"/>
      <c r="HM96" s="365"/>
      <c r="HN96" s="365"/>
      <c r="HO96" s="365"/>
      <c r="HP96" s="365"/>
      <c r="HQ96" s="365"/>
      <c r="HR96" s="365"/>
      <c r="HS96" s="365"/>
      <c r="HT96" s="365"/>
      <c r="HU96" s="365"/>
      <c r="HV96" s="365"/>
      <c r="HW96" s="365"/>
      <c r="HX96" s="365"/>
      <c r="HY96" s="365"/>
    </row>
    <row r="97" spans="1:233" ht="13.5" thickBot="1">
      <c r="A97" s="365"/>
      <c r="B97" s="80" t="s">
        <v>296</v>
      </c>
      <c r="C97" s="395">
        <f>'Existing Management Practices'!C92</f>
        <v>0</v>
      </c>
      <c r="D97" s="386"/>
      <c r="E97" s="421"/>
      <c r="F97" s="421"/>
      <c r="G97" s="421"/>
      <c r="H97" s="368"/>
      <c r="I97" s="365"/>
      <c r="J97" s="365"/>
      <c r="K97" s="365"/>
      <c r="L97" s="365"/>
      <c r="M97" s="365"/>
      <c r="N97" s="365"/>
      <c r="O97" s="365"/>
      <c r="P97" s="365"/>
      <c r="Q97" s="365"/>
      <c r="R97" s="365"/>
      <c r="S97" s="365"/>
      <c r="T97" s="365"/>
      <c r="U97" s="365"/>
      <c r="V97" s="365"/>
      <c r="W97" s="365"/>
      <c r="X97" s="365"/>
      <c r="Y97" s="365"/>
      <c r="Z97" s="365"/>
      <c r="AA97" s="365"/>
      <c r="AB97" s="365"/>
      <c r="AC97" s="365"/>
      <c r="AD97" s="365"/>
      <c r="AE97" s="365"/>
      <c r="AF97" s="365"/>
      <c r="AG97" s="365"/>
      <c r="AH97" s="365"/>
      <c r="AI97" s="365"/>
      <c r="AJ97" s="365"/>
      <c r="AK97" s="365"/>
      <c r="AL97" s="365"/>
      <c r="AM97" s="365"/>
      <c r="AN97" s="365"/>
      <c r="AO97" s="365"/>
      <c r="AP97" s="365"/>
      <c r="AQ97" s="365"/>
      <c r="AR97" s="365"/>
      <c r="AS97" s="365"/>
      <c r="AT97" s="365"/>
      <c r="AU97" s="365"/>
      <c r="AV97" s="365"/>
      <c r="AW97" s="365"/>
      <c r="AX97" s="365"/>
      <c r="AY97" s="365"/>
      <c r="AZ97" s="365"/>
      <c r="BA97" s="365"/>
      <c r="BB97" s="365"/>
      <c r="BC97" s="365"/>
      <c r="BD97" s="365"/>
      <c r="BE97" s="365"/>
      <c r="BF97" s="365"/>
      <c r="BG97" s="365"/>
      <c r="BH97" s="365"/>
      <c r="BI97" s="365"/>
      <c r="BJ97" s="365"/>
      <c r="BK97" s="365"/>
      <c r="BL97" s="365"/>
      <c r="BM97" s="365"/>
      <c r="BN97" s="365"/>
      <c r="BO97" s="365"/>
      <c r="BP97" s="365"/>
      <c r="BQ97" s="365"/>
      <c r="BR97" s="365"/>
      <c r="BS97" s="365"/>
      <c r="BT97" s="365"/>
      <c r="BU97" s="365"/>
      <c r="BV97" s="365"/>
      <c r="BW97" s="365"/>
      <c r="BX97" s="365"/>
      <c r="BY97" s="365"/>
      <c r="BZ97" s="365"/>
      <c r="CA97" s="365"/>
      <c r="CB97" s="365"/>
      <c r="CC97" s="365"/>
      <c r="CD97" s="365"/>
      <c r="CE97" s="365"/>
      <c r="CF97" s="365"/>
      <c r="CG97" s="365"/>
      <c r="CH97" s="365"/>
      <c r="CI97" s="365"/>
      <c r="CJ97" s="365"/>
      <c r="CK97" s="365"/>
      <c r="CL97" s="365"/>
      <c r="CM97" s="365"/>
      <c r="CN97" s="365"/>
      <c r="CO97" s="365"/>
      <c r="CP97" s="365"/>
      <c r="CQ97" s="365"/>
      <c r="CR97" s="365"/>
      <c r="CS97" s="365"/>
      <c r="CT97" s="365"/>
      <c r="CU97" s="365"/>
      <c r="CV97" s="365"/>
      <c r="CW97" s="365"/>
      <c r="CX97" s="365"/>
      <c r="CY97" s="365"/>
      <c r="CZ97" s="365"/>
      <c r="DA97" s="365"/>
      <c r="DB97" s="365"/>
      <c r="DC97" s="365"/>
      <c r="DD97" s="365"/>
      <c r="DE97" s="365"/>
      <c r="DF97" s="365"/>
      <c r="DG97" s="365"/>
      <c r="DH97" s="365"/>
      <c r="DI97" s="365"/>
      <c r="DJ97" s="365"/>
      <c r="DK97" s="365"/>
      <c r="DL97" s="365"/>
      <c r="DM97" s="365"/>
      <c r="DN97" s="365"/>
      <c r="DO97" s="365"/>
      <c r="DP97" s="365"/>
      <c r="DQ97" s="365"/>
      <c r="DR97" s="365"/>
      <c r="DS97" s="365"/>
      <c r="DT97" s="365"/>
      <c r="DU97" s="365"/>
      <c r="DV97" s="365"/>
      <c r="DW97" s="365"/>
      <c r="DX97" s="365"/>
      <c r="DY97" s="365"/>
      <c r="DZ97" s="365"/>
      <c r="EA97" s="365"/>
      <c r="EB97" s="365"/>
      <c r="EC97" s="365"/>
      <c r="ED97" s="365"/>
      <c r="EE97" s="365"/>
      <c r="EF97" s="365"/>
      <c r="EG97" s="365"/>
      <c r="EH97" s="365"/>
      <c r="EI97" s="365"/>
      <c r="EJ97" s="365"/>
      <c r="EK97" s="365"/>
      <c r="EL97" s="365"/>
      <c r="EM97" s="365"/>
      <c r="EN97" s="365"/>
      <c r="EO97" s="365"/>
      <c r="EP97" s="365"/>
      <c r="EQ97" s="365"/>
      <c r="ER97" s="365"/>
      <c r="ES97" s="365"/>
      <c r="ET97" s="365"/>
      <c r="EU97" s="365"/>
      <c r="EV97" s="365"/>
      <c r="EW97" s="365"/>
      <c r="EX97" s="365"/>
      <c r="EY97" s="365"/>
      <c r="EZ97" s="365"/>
      <c r="FA97" s="365"/>
      <c r="FB97" s="365"/>
      <c r="FC97" s="365"/>
      <c r="FD97" s="365"/>
      <c r="FE97" s="365"/>
      <c r="FF97" s="365"/>
      <c r="FG97" s="365"/>
      <c r="FH97" s="365"/>
      <c r="FI97" s="365"/>
      <c r="FJ97" s="365"/>
      <c r="FK97" s="365"/>
      <c r="FL97" s="365"/>
      <c r="FM97" s="365"/>
      <c r="FN97" s="365"/>
      <c r="FO97" s="365"/>
      <c r="FP97" s="365"/>
      <c r="FQ97" s="365"/>
      <c r="FR97" s="365"/>
      <c r="FS97" s="365"/>
      <c r="FT97" s="365"/>
      <c r="FU97" s="365"/>
      <c r="FV97" s="365"/>
      <c r="FW97" s="365"/>
      <c r="FX97" s="365"/>
      <c r="FY97" s="365"/>
      <c r="FZ97" s="365"/>
      <c r="GA97" s="365"/>
      <c r="GB97" s="365"/>
      <c r="GC97" s="365"/>
      <c r="GD97" s="365"/>
      <c r="GE97" s="365"/>
      <c r="GF97" s="365"/>
      <c r="GG97" s="365"/>
      <c r="GH97" s="365"/>
      <c r="GI97" s="365"/>
      <c r="GJ97" s="365"/>
      <c r="GK97" s="365"/>
      <c r="GL97" s="365"/>
      <c r="GM97" s="365"/>
      <c r="GN97" s="365"/>
      <c r="GO97" s="365"/>
      <c r="GP97" s="365"/>
      <c r="GQ97" s="365"/>
      <c r="GR97" s="365"/>
      <c r="GS97" s="365"/>
      <c r="GT97" s="365"/>
      <c r="GU97" s="365"/>
      <c r="GV97" s="365"/>
      <c r="GW97" s="365"/>
      <c r="GX97" s="365"/>
      <c r="GY97" s="365"/>
      <c r="GZ97" s="365"/>
      <c r="HA97" s="365"/>
      <c r="HB97" s="365"/>
      <c r="HC97" s="365"/>
      <c r="HD97" s="365"/>
      <c r="HE97" s="365"/>
      <c r="HF97" s="365"/>
      <c r="HG97" s="365"/>
      <c r="HH97" s="365"/>
      <c r="HI97" s="365"/>
      <c r="HJ97" s="365"/>
      <c r="HK97" s="365"/>
      <c r="HL97" s="365"/>
      <c r="HM97" s="365"/>
      <c r="HN97" s="365"/>
      <c r="HO97" s="365"/>
      <c r="HP97" s="365"/>
      <c r="HQ97" s="365"/>
      <c r="HR97" s="365"/>
      <c r="HS97" s="365"/>
      <c r="HT97" s="365"/>
      <c r="HU97" s="365"/>
      <c r="HV97" s="365"/>
      <c r="HW97" s="365"/>
      <c r="HX97" s="365"/>
      <c r="HY97" s="365"/>
    </row>
    <row r="98" spans="1:233" ht="21.75" thickBot="1" thickTop="1">
      <c r="A98" s="365"/>
      <c r="B98" s="377"/>
      <c r="C98" s="455"/>
      <c r="D98" s="455"/>
      <c r="E98" s="462"/>
      <c r="F98" s="377"/>
      <c r="G98" s="377"/>
      <c r="H98" s="377"/>
      <c r="I98" s="377"/>
      <c r="J98" s="365"/>
      <c r="K98" s="365"/>
      <c r="L98" s="365"/>
      <c r="M98" s="365"/>
      <c r="N98" s="365"/>
      <c r="O98" s="365"/>
      <c r="P98" s="365"/>
      <c r="Q98" s="365"/>
      <c r="R98" s="365"/>
      <c r="S98" s="365"/>
      <c r="T98" s="365"/>
      <c r="U98" s="365"/>
      <c r="V98" s="365"/>
      <c r="W98" s="365"/>
      <c r="X98" s="365"/>
      <c r="Y98" s="365"/>
      <c r="Z98" s="365"/>
      <c r="AA98" s="365"/>
      <c r="AB98" s="365"/>
      <c r="AC98" s="365"/>
      <c r="AD98" s="365"/>
      <c r="AE98" s="365"/>
      <c r="AF98" s="365"/>
      <c r="AG98" s="365"/>
      <c r="AH98" s="365"/>
      <c r="AI98" s="365"/>
      <c r="AJ98" s="365"/>
      <c r="AK98" s="365"/>
      <c r="AL98" s="365"/>
      <c r="AM98" s="365"/>
      <c r="AN98" s="365"/>
      <c r="AO98" s="365"/>
      <c r="AP98" s="365"/>
      <c r="AQ98" s="365"/>
      <c r="AR98" s="365"/>
      <c r="AS98" s="365"/>
      <c r="AT98" s="365"/>
      <c r="AU98" s="365"/>
      <c r="AV98" s="365"/>
      <c r="AW98" s="365"/>
      <c r="AX98" s="365"/>
      <c r="AY98" s="365"/>
      <c r="AZ98" s="365"/>
      <c r="BA98" s="365"/>
      <c r="BB98" s="365"/>
      <c r="BC98" s="365"/>
      <c r="BD98" s="365"/>
      <c r="BE98" s="365"/>
      <c r="BF98" s="365"/>
      <c r="BG98" s="365"/>
      <c r="BH98" s="365"/>
      <c r="BI98" s="365"/>
      <c r="BJ98" s="365"/>
      <c r="BK98" s="365"/>
      <c r="BL98" s="365"/>
      <c r="BM98" s="365"/>
      <c r="BN98" s="365"/>
      <c r="BO98" s="365"/>
      <c r="BP98" s="365"/>
      <c r="BQ98" s="365"/>
      <c r="BR98" s="365"/>
      <c r="BS98" s="365"/>
      <c r="BT98" s="365"/>
      <c r="BU98" s="365"/>
      <c r="BV98" s="365"/>
      <c r="BW98" s="365"/>
      <c r="BX98" s="365"/>
      <c r="BY98" s="365"/>
      <c r="BZ98" s="365"/>
      <c r="CA98" s="365"/>
      <c r="CB98" s="365"/>
      <c r="CC98" s="365"/>
      <c r="CD98" s="365"/>
      <c r="CE98" s="365"/>
      <c r="CF98" s="365"/>
      <c r="CG98" s="365"/>
      <c r="CH98" s="365"/>
      <c r="CI98" s="365"/>
      <c r="CJ98" s="365"/>
      <c r="CK98" s="365"/>
      <c r="CL98" s="365"/>
      <c r="CM98" s="365"/>
      <c r="CN98" s="365"/>
      <c r="CO98" s="365"/>
      <c r="CP98" s="365"/>
      <c r="CQ98" s="365"/>
      <c r="CR98" s="365"/>
      <c r="CS98" s="365"/>
      <c r="CT98" s="365"/>
      <c r="CU98" s="365"/>
      <c r="CV98" s="365"/>
      <c r="CW98" s="365"/>
      <c r="CX98" s="365"/>
      <c r="CY98" s="365"/>
      <c r="CZ98" s="365"/>
      <c r="DA98" s="365"/>
      <c r="DB98" s="365"/>
      <c r="DC98" s="365"/>
      <c r="DD98" s="365"/>
      <c r="DE98" s="365"/>
      <c r="DF98" s="365"/>
      <c r="DG98" s="365"/>
      <c r="DH98" s="365"/>
      <c r="DI98" s="365"/>
      <c r="DJ98" s="365"/>
      <c r="DK98" s="365"/>
      <c r="DL98" s="365"/>
      <c r="DM98" s="365"/>
      <c r="DN98" s="365"/>
      <c r="DO98" s="365"/>
      <c r="DP98" s="365"/>
      <c r="DQ98" s="365"/>
      <c r="DR98" s="365"/>
      <c r="DS98" s="365"/>
      <c r="DT98" s="365"/>
      <c r="DU98" s="365"/>
      <c r="DV98" s="365"/>
      <c r="DW98" s="365"/>
      <c r="DX98" s="365"/>
      <c r="DY98" s="365"/>
      <c r="DZ98" s="365"/>
      <c r="EA98" s="365"/>
      <c r="EB98" s="365"/>
      <c r="EC98" s="365"/>
      <c r="ED98" s="365"/>
      <c r="EE98" s="365"/>
      <c r="EF98" s="365"/>
      <c r="EG98" s="365"/>
      <c r="EH98" s="365"/>
      <c r="EI98" s="365"/>
      <c r="EJ98" s="365"/>
      <c r="EK98" s="365"/>
      <c r="EL98" s="365"/>
      <c r="EM98" s="365"/>
      <c r="EN98" s="365"/>
      <c r="EO98" s="365"/>
      <c r="EP98" s="365"/>
      <c r="EQ98" s="365"/>
      <c r="ER98" s="365"/>
      <c r="ES98" s="365"/>
      <c r="ET98" s="365"/>
      <c r="EU98" s="365"/>
      <c r="EV98" s="365"/>
      <c r="EW98" s="365"/>
      <c r="EX98" s="365"/>
      <c r="EY98" s="365"/>
      <c r="EZ98" s="365"/>
      <c r="FA98" s="365"/>
      <c r="FB98" s="365"/>
      <c r="FC98" s="365"/>
      <c r="FD98" s="365"/>
      <c r="FE98" s="365"/>
      <c r="FF98" s="365"/>
      <c r="FG98" s="365"/>
      <c r="FH98" s="365"/>
      <c r="FI98" s="365"/>
      <c r="FJ98" s="365"/>
      <c r="FK98" s="365"/>
      <c r="FL98" s="365"/>
      <c r="FM98" s="365"/>
      <c r="FN98" s="365"/>
      <c r="FO98" s="365"/>
      <c r="FP98" s="365"/>
      <c r="FQ98" s="365"/>
      <c r="FR98" s="365"/>
      <c r="FS98" s="365"/>
      <c r="FT98" s="365"/>
      <c r="FU98" s="365"/>
      <c r="FV98" s="365"/>
      <c r="FW98" s="365"/>
      <c r="FX98" s="365"/>
      <c r="FY98" s="365"/>
      <c r="FZ98" s="365"/>
      <c r="GA98" s="365"/>
      <c r="GB98" s="365"/>
      <c r="GC98" s="365"/>
      <c r="GD98" s="365"/>
      <c r="GE98" s="365"/>
      <c r="GF98" s="365"/>
      <c r="GG98" s="365"/>
      <c r="GH98" s="365"/>
      <c r="GI98" s="365"/>
      <c r="GJ98" s="365"/>
      <c r="GK98" s="365"/>
      <c r="GL98" s="365"/>
      <c r="GM98" s="365"/>
      <c r="GN98" s="365"/>
      <c r="GO98" s="365"/>
      <c r="GP98" s="365"/>
      <c r="GQ98" s="365"/>
      <c r="GR98" s="365"/>
      <c r="GS98" s="365"/>
      <c r="GT98" s="365"/>
      <c r="GU98" s="365"/>
      <c r="GV98" s="365"/>
      <c r="GW98" s="365"/>
      <c r="GX98" s="365"/>
      <c r="GY98" s="365"/>
      <c r="GZ98" s="365"/>
      <c r="HA98" s="365"/>
      <c r="HB98" s="365"/>
      <c r="HC98" s="365"/>
      <c r="HD98" s="365"/>
      <c r="HE98" s="365"/>
      <c r="HF98" s="365"/>
      <c r="HG98" s="365"/>
      <c r="HH98" s="365"/>
      <c r="HI98" s="365"/>
      <c r="HJ98" s="365"/>
      <c r="HK98" s="365"/>
      <c r="HL98" s="365"/>
      <c r="HM98" s="365"/>
      <c r="HN98" s="365"/>
      <c r="HO98" s="365"/>
      <c r="HP98" s="365"/>
      <c r="HQ98" s="365"/>
      <c r="HR98" s="365"/>
      <c r="HS98" s="365"/>
      <c r="HT98" s="365"/>
      <c r="HU98" s="365"/>
      <c r="HV98" s="365"/>
      <c r="HW98" s="365"/>
      <c r="HX98" s="365"/>
      <c r="HY98" s="365"/>
    </row>
    <row r="99" spans="1:233" ht="21.75" thickBot="1" thickTop="1">
      <c r="A99" s="365"/>
      <c r="B99" s="435" t="s">
        <v>139</v>
      </c>
      <c r="C99" s="455"/>
      <c r="D99" s="455"/>
      <c r="E99" s="466"/>
      <c r="F99" s="431"/>
      <c r="G99" s="365"/>
      <c r="H99" s="365"/>
      <c r="I99" s="365"/>
      <c r="J99" s="365"/>
      <c r="K99" s="365"/>
      <c r="L99" s="365"/>
      <c r="M99" s="365"/>
      <c r="N99" s="365"/>
      <c r="O99" s="365"/>
      <c r="P99" s="365"/>
      <c r="Q99" s="365"/>
      <c r="R99" s="365"/>
      <c r="S99" s="365"/>
      <c r="T99" s="365"/>
      <c r="U99" s="365"/>
      <c r="V99" s="365"/>
      <c r="W99" s="365"/>
      <c r="X99" s="365"/>
      <c r="Y99" s="365"/>
      <c r="Z99" s="365"/>
      <c r="AA99" s="365"/>
      <c r="AB99" s="365"/>
      <c r="AC99" s="365"/>
      <c r="AD99" s="365"/>
      <c r="AE99" s="365"/>
      <c r="AF99" s="365"/>
      <c r="AG99" s="365"/>
      <c r="AH99" s="365"/>
      <c r="AI99" s="365"/>
      <c r="AJ99" s="365"/>
      <c r="AK99" s="365"/>
      <c r="AL99" s="365"/>
      <c r="AM99" s="365"/>
      <c r="AN99" s="365"/>
      <c r="AO99" s="365"/>
      <c r="AP99" s="365"/>
      <c r="AQ99" s="365"/>
      <c r="AR99" s="365"/>
      <c r="AS99" s="365"/>
      <c r="AT99" s="365"/>
      <c r="AU99" s="365"/>
      <c r="AV99" s="365"/>
      <c r="AW99" s="365"/>
      <c r="AX99" s="365"/>
      <c r="AY99" s="365"/>
      <c r="AZ99" s="365"/>
      <c r="BA99" s="365"/>
      <c r="BB99" s="365"/>
      <c r="BC99" s="365"/>
      <c r="BD99" s="365"/>
      <c r="BE99" s="365"/>
      <c r="BF99" s="365"/>
      <c r="BG99" s="365"/>
      <c r="BH99" s="365"/>
      <c r="BI99" s="365"/>
      <c r="BJ99" s="365"/>
      <c r="BK99" s="365"/>
      <c r="BL99" s="365"/>
      <c r="BM99" s="365"/>
      <c r="BN99" s="365"/>
      <c r="BO99" s="365"/>
      <c r="BP99" s="365"/>
      <c r="BQ99" s="365"/>
      <c r="BR99" s="365"/>
      <c r="BS99" s="365"/>
      <c r="BT99" s="365"/>
      <c r="BU99" s="365"/>
      <c r="BV99" s="365"/>
      <c r="BW99" s="365"/>
      <c r="BX99" s="365"/>
      <c r="BY99" s="365"/>
      <c r="BZ99" s="365"/>
      <c r="CA99" s="365"/>
      <c r="CB99" s="365"/>
      <c r="CC99" s="365"/>
      <c r="CD99" s="365"/>
      <c r="CE99" s="365"/>
      <c r="CF99" s="365"/>
      <c r="CG99" s="365"/>
      <c r="CH99" s="365"/>
      <c r="CI99" s="365"/>
      <c r="CJ99" s="365"/>
      <c r="CK99" s="365"/>
      <c r="CL99" s="365"/>
      <c r="CM99" s="365"/>
      <c r="CN99" s="365"/>
      <c r="CO99" s="365"/>
      <c r="CP99" s="365"/>
      <c r="CQ99" s="365"/>
      <c r="CR99" s="365"/>
      <c r="CS99" s="365"/>
      <c r="CT99" s="365"/>
      <c r="CU99" s="365"/>
      <c r="CV99" s="365"/>
      <c r="CW99" s="365"/>
      <c r="CX99" s="365"/>
      <c r="CY99" s="365"/>
      <c r="CZ99" s="365"/>
      <c r="DA99" s="365"/>
      <c r="DB99" s="365"/>
      <c r="DC99" s="365"/>
      <c r="DD99" s="365"/>
      <c r="DE99" s="365"/>
      <c r="DF99" s="365"/>
      <c r="DG99" s="365"/>
      <c r="DH99" s="365"/>
      <c r="DI99" s="365"/>
      <c r="DJ99" s="365"/>
      <c r="DK99" s="365"/>
      <c r="DL99" s="365"/>
      <c r="DM99" s="365"/>
      <c r="DN99" s="365"/>
      <c r="DO99" s="365"/>
      <c r="DP99" s="365"/>
      <c r="DQ99" s="365"/>
      <c r="DR99" s="365"/>
      <c r="DS99" s="365"/>
      <c r="DT99" s="365"/>
      <c r="DU99" s="365"/>
      <c r="DV99" s="365"/>
      <c r="DW99" s="365"/>
      <c r="DX99" s="365"/>
      <c r="DY99" s="365"/>
      <c r="DZ99" s="365"/>
      <c r="EA99" s="365"/>
      <c r="EB99" s="365"/>
      <c r="EC99" s="365"/>
      <c r="ED99" s="365"/>
      <c r="EE99" s="365"/>
      <c r="EF99" s="365"/>
      <c r="EG99" s="365"/>
      <c r="EH99" s="365"/>
      <c r="EI99" s="365"/>
      <c r="EJ99" s="365"/>
      <c r="EK99" s="365"/>
      <c r="EL99" s="365"/>
      <c r="EM99" s="365"/>
      <c r="EN99" s="365"/>
      <c r="EO99" s="365"/>
      <c r="EP99" s="365"/>
      <c r="EQ99" s="365"/>
      <c r="ER99" s="365"/>
      <c r="ES99" s="365"/>
      <c r="ET99" s="365"/>
      <c r="EU99" s="365"/>
      <c r="EV99" s="365"/>
      <c r="EW99" s="365"/>
      <c r="EX99" s="365"/>
      <c r="EY99" s="365"/>
      <c r="EZ99" s="365"/>
      <c r="FA99" s="365"/>
      <c r="FB99" s="365"/>
      <c r="FC99" s="365"/>
      <c r="FD99" s="365"/>
      <c r="FE99" s="365"/>
      <c r="FF99" s="365"/>
      <c r="FG99" s="365"/>
      <c r="FH99" s="365"/>
      <c r="FI99" s="365"/>
      <c r="FJ99" s="365"/>
      <c r="FK99" s="365"/>
      <c r="FL99" s="365"/>
      <c r="FM99" s="365"/>
      <c r="FN99" s="365"/>
      <c r="FO99" s="365"/>
      <c r="FP99" s="365"/>
      <c r="FQ99" s="365"/>
      <c r="FR99" s="365"/>
      <c r="FS99" s="365"/>
      <c r="FT99" s="365"/>
      <c r="FU99" s="365"/>
      <c r="FV99" s="365"/>
      <c r="FW99" s="365"/>
      <c r="FX99" s="365"/>
      <c r="FY99" s="365"/>
      <c r="FZ99" s="365"/>
      <c r="GA99" s="365"/>
      <c r="GB99" s="365"/>
      <c r="GC99" s="365"/>
      <c r="GD99" s="365"/>
      <c r="GE99" s="365"/>
      <c r="GF99" s="365"/>
      <c r="GG99" s="365"/>
      <c r="GH99" s="365"/>
      <c r="GI99" s="365"/>
      <c r="GJ99" s="365"/>
      <c r="GK99" s="365"/>
      <c r="GL99" s="365"/>
      <c r="GM99" s="365"/>
      <c r="GN99" s="365"/>
      <c r="GO99" s="365"/>
      <c r="GP99" s="365"/>
      <c r="GQ99" s="365"/>
      <c r="GR99" s="365"/>
      <c r="GS99" s="365"/>
      <c r="GT99" s="365"/>
      <c r="GU99" s="365"/>
      <c r="GV99" s="365"/>
      <c r="GW99" s="365"/>
      <c r="GX99" s="365"/>
      <c r="GY99" s="365"/>
      <c r="GZ99" s="365"/>
      <c r="HA99" s="365"/>
      <c r="HB99" s="365"/>
      <c r="HC99" s="365"/>
      <c r="HD99" s="365"/>
      <c r="HE99" s="365"/>
      <c r="HF99" s="365"/>
      <c r="HG99" s="365"/>
      <c r="HH99" s="365"/>
      <c r="HI99" s="365"/>
      <c r="HJ99" s="365"/>
      <c r="HK99" s="365"/>
      <c r="HL99" s="365"/>
      <c r="HM99" s="365"/>
      <c r="HN99" s="365"/>
      <c r="HO99" s="365"/>
      <c r="HP99" s="365"/>
      <c r="HQ99" s="365"/>
      <c r="HR99" s="365"/>
      <c r="HS99" s="365"/>
      <c r="HT99" s="365"/>
      <c r="HU99" s="365"/>
      <c r="HV99" s="365"/>
      <c r="HW99" s="365"/>
      <c r="HX99" s="365"/>
      <c r="HY99" s="365"/>
    </row>
    <row r="100" spans="1:233" ht="12.75">
      <c r="A100" s="365"/>
      <c r="B100" s="27"/>
      <c r="C100" s="11" t="s">
        <v>158</v>
      </c>
      <c r="D100" s="13" t="s">
        <v>129</v>
      </c>
      <c r="E100" s="12"/>
      <c r="F100" s="431"/>
      <c r="G100" s="365"/>
      <c r="H100" s="365"/>
      <c r="I100" s="365"/>
      <c r="J100" s="365"/>
      <c r="K100" s="365"/>
      <c r="L100" s="365"/>
      <c r="M100" s="365"/>
      <c r="N100" s="365"/>
      <c r="O100" s="365"/>
      <c r="P100" s="365"/>
      <c r="Q100" s="365"/>
      <c r="R100" s="365"/>
      <c r="S100" s="365"/>
      <c r="T100" s="365"/>
      <c r="U100" s="365"/>
      <c r="V100" s="365"/>
      <c r="W100" s="365"/>
      <c r="X100" s="365"/>
      <c r="Y100" s="365"/>
      <c r="Z100" s="365"/>
      <c r="AA100" s="365"/>
      <c r="AB100" s="365"/>
      <c r="AC100" s="365"/>
      <c r="AD100" s="365"/>
      <c r="AE100" s="365"/>
      <c r="AF100" s="365"/>
      <c r="AG100" s="365"/>
      <c r="AH100" s="365"/>
      <c r="AI100" s="365"/>
      <c r="AJ100" s="365"/>
      <c r="AK100" s="365"/>
      <c r="AL100" s="365"/>
      <c r="AM100" s="365"/>
      <c r="AN100" s="365"/>
      <c r="AO100" s="365"/>
      <c r="AP100" s="365"/>
      <c r="AQ100" s="365"/>
      <c r="AR100" s="365"/>
      <c r="AS100" s="365"/>
      <c r="AT100" s="365"/>
      <c r="AU100" s="365"/>
      <c r="AV100" s="365"/>
      <c r="AW100" s="365"/>
      <c r="AX100" s="365"/>
      <c r="AY100" s="365"/>
      <c r="AZ100" s="365"/>
      <c r="BA100" s="365"/>
      <c r="BB100" s="365"/>
      <c r="BC100" s="365"/>
      <c r="BD100" s="365"/>
      <c r="BE100" s="365"/>
      <c r="BF100" s="365"/>
      <c r="BG100" s="365"/>
      <c r="BH100" s="365"/>
      <c r="BI100" s="365"/>
      <c r="BJ100" s="365"/>
      <c r="BK100" s="365"/>
      <c r="BL100" s="365"/>
      <c r="BM100" s="365"/>
      <c r="BN100" s="365"/>
      <c r="BO100" s="365"/>
      <c r="BP100" s="365"/>
      <c r="BQ100" s="365"/>
      <c r="BR100" s="365"/>
      <c r="BS100" s="365"/>
      <c r="BT100" s="365"/>
      <c r="BU100" s="365"/>
      <c r="BV100" s="365"/>
      <c r="BW100" s="365"/>
      <c r="BX100" s="365"/>
      <c r="BY100" s="365"/>
      <c r="BZ100" s="365"/>
      <c r="CA100" s="365"/>
      <c r="CB100" s="365"/>
      <c r="CC100" s="365"/>
      <c r="CD100" s="365"/>
      <c r="CE100" s="365"/>
      <c r="CF100" s="365"/>
      <c r="CG100" s="365"/>
      <c r="CH100" s="365"/>
      <c r="CI100" s="365"/>
      <c r="CJ100" s="365"/>
      <c r="CK100" s="365"/>
      <c r="CL100" s="365"/>
      <c r="CM100" s="365"/>
      <c r="CN100" s="365"/>
      <c r="CO100" s="365"/>
      <c r="CP100" s="365"/>
      <c r="CQ100" s="365"/>
      <c r="CR100" s="365"/>
      <c r="CS100" s="365"/>
      <c r="CT100" s="365"/>
      <c r="CU100" s="365"/>
      <c r="CV100" s="365"/>
      <c r="CW100" s="365"/>
      <c r="CX100" s="365"/>
      <c r="CY100" s="365"/>
      <c r="CZ100" s="365"/>
      <c r="DA100" s="365"/>
      <c r="DB100" s="365"/>
      <c r="DC100" s="365"/>
      <c r="DD100" s="365"/>
      <c r="DE100" s="365"/>
      <c r="DF100" s="365"/>
      <c r="DG100" s="365"/>
      <c r="DH100" s="365"/>
      <c r="DI100" s="365"/>
      <c r="DJ100" s="365"/>
      <c r="DK100" s="365"/>
      <c r="DL100" s="365"/>
      <c r="DM100" s="365"/>
      <c r="DN100" s="365"/>
      <c r="DO100" s="365"/>
      <c r="DP100" s="365"/>
      <c r="DQ100" s="365"/>
      <c r="DR100" s="365"/>
      <c r="DS100" s="365"/>
      <c r="DT100" s="365"/>
      <c r="DU100" s="365"/>
      <c r="DV100" s="365"/>
      <c r="DW100" s="365"/>
      <c r="DX100" s="365"/>
      <c r="DY100" s="365"/>
      <c r="DZ100" s="365"/>
      <c r="EA100" s="365"/>
      <c r="EB100" s="365"/>
      <c r="EC100" s="365"/>
      <c r="ED100" s="365"/>
      <c r="EE100" s="365"/>
      <c r="EF100" s="365"/>
      <c r="EG100" s="365"/>
      <c r="EH100" s="365"/>
      <c r="EI100" s="365"/>
      <c r="EJ100" s="365"/>
      <c r="EK100" s="365"/>
      <c r="EL100" s="365"/>
      <c r="EM100" s="365"/>
      <c r="EN100" s="365"/>
      <c r="EO100" s="365"/>
      <c r="EP100" s="365"/>
      <c r="EQ100" s="365"/>
      <c r="ER100" s="365"/>
      <c r="ES100" s="365"/>
      <c r="ET100" s="365"/>
      <c r="EU100" s="365"/>
      <c r="EV100" s="365"/>
      <c r="EW100" s="365"/>
      <c r="EX100" s="365"/>
      <c r="EY100" s="365"/>
      <c r="EZ100" s="365"/>
      <c r="FA100" s="365"/>
      <c r="FB100" s="365"/>
      <c r="FC100" s="365"/>
      <c r="FD100" s="365"/>
      <c r="FE100" s="365"/>
      <c r="FF100" s="365"/>
      <c r="FG100" s="365"/>
      <c r="FH100" s="365"/>
      <c r="FI100" s="365"/>
      <c r="FJ100" s="365"/>
      <c r="FK100" s="365"/>
      <c r="FL100" s="365"/>
      <c r="FM100" s="365"/>
      <c r="FN100" s="365"/>
      <c r="FO100" s="365"/>
      <c r="FP100" s="365"/>
      <c r="FQ100" s="365"/>
      <c r="FR100" s="365"/>
      <c r="FS100" s="365"/>
      <c r="FT100" s="365"/>
      <c r="FU100" s="365"/>
      <c r="FV100" s="365"/>
      <c r="FW100" s="365"/>
      <c r="FX100" s="365"/>
      <c r="FY100" s="365"/>
      <c r="FZ100" s="365"/>
      <c r="GA100" s="365"/>
      <c r="GB100" s="365"/>
      <c r="GC100" s="365"/>
      <c r="GD100" s="365"/>
      <c r="GE100" s="365"/>
      <c r="GF100" s="365"/>
      <c r="GG100" s="365"/>
      <c r="GH100" s="365"/>
      <c r="GI100" s="365"/>
      <c r="GJ100" s="365"/>
      <c r="GK100" s="365"/>
      <c r="GL100" s="365"/>
      <c r="GM100" s="365"/>
      <c r="GN100" s="365"/>
      <c r="GO100" s="365"/>
      <c r="GP100" s="365"/>
      <c r="GQ100" s="365"/>
      <c r="GR100" s="365"/>
      <c r="GS100" s="365"/>
      <c r="GT100" s="365"/>
      <c r="GU100" s="365"/>
      <c r="GV100" s="365"/>
      <c r="GW100" s="365"/>
      <c r="GX100" s="365"/>
      <c r="GY100" s="365"/>
      <c r="GZ100" s="365"/>
      <c r="HA100" s="365"/>
      <c r="HB100" s="365"/>
      <c r="HC100" s="365"/>
      <c r="HD100" s="365"/>
      <c r="HE100" s="365"/>
      <c r="HF100" s="365"/>
      <c r="HG100" s="365"/>
      <c r="HH100" s="365"/>
      <c r="HI100" s="365"/>
      <c r="HJ100" s="365"/>
      <c r="HK100" s="365"/>
      <c r="HL100" s="365"/>
      <c r="HM100" s="365"/>
      <c r="HN100" s="365"/>
      <c r="HO100" s="365"/>
      <c r="HP100" s="365"/>
      <c r="HQ100" s="365"/>
      <c r="HR100" s="365"/>
      <c r="HS100" s="365"/>
      <c r="HT100" s="365"/>
      <c r="HU100" s="365"/>
      <c r="HV100" s="365"/>
      <c r="HW100" s="365"/>
      <c r="HX100" s="365"/>
      <c r="HY100" s="365"/>
    </row>
    <row r="101" spans="1:233" ht="13.5" thickBot="1">
      <c r="A101" s="365"/>
      <c r="B101" s="7"/>
      <c r="C101" s="6" t="s">
        <v>26</v>
      </c>
      <c r="D101" s="177" t="s">
        <v>119</v>
      </c>
      <c r="E101" s="207" t="s">
        <v>6</v>
      </c>
      <c r="F101" s="431"/>
      <c r="G101" s="365"/>
      <c r="H101" s="365"/>
      <c r="I101" s="365"/>
      <c r="J101" s="365"/>
      <c r="K101" s="365"/>
      <c r="L101" s="365"/>
      <c r="M101" s="365"/>
      <c r="N101" s="365"/>
      <c r="O101" s="365"/>
      <c r="P101" s="365"/>
      <c r="Q101" s="365"/>
      <c r="R101" s="365"/>
      <c r="S101" s="365"/>
      <c r="T101" s="365"/>
      <c r="U101" s="365"/>
      <c r="V101" s="365"/>
      <c r="W101" s="365"/>
      <c r="X101" s="365"/>
      <c r="Y101" s="365"/>
      <c r="Z101" s="365"/>
      <c r="AA101" s="365"/>
      <c r="AB101" s="365"/>
      <c r="AC101" s="365"/>
      <c r="AD101" s="365"/>
      <c r="AE101" s="365"/>
      <c r="AF101" s="365"/>
      <c r="AG101" s="365"/>
      <c r="AH101" s="365"/>
      <c r="AI101" s="365"/>
      <c r="AJ101" s="365"/>
      <c r="AK101" s="365"/>
      <c r="AL101" s="365"/>
      <c r="AM101" s="365"/>
      <c r="AN101" s="365"/>
      <c r="AO101" s="365"/>
      <c r="AP101" s="365"/>
      <c r="AQ101" s="365"/>
      <c r="AR101" s="365"/>
      <c r="AS101" s="365"/>
      <c r="AT101" s="365"/>
      <c r="AU101" s="365"/>
      <c r="AV101" s="365"/>
      <c r="AW101" s="365"/>
      <c r="AX101" s="365"/>
      <c r="AY101" s="365"/>
      <c r="AZ101" s="365"/>
      <c r="BA101" s="365"/>
      <c r="BB101" s="365"/>
      <c r="BC101" s="365"/>
      <c r="BD101" s="365"/>
      <c r="BE101" s="365"/>
      <c r="BF101" s="365"/>
      <c r="BG101" s="365"/>
      <c r="BH101" s="365"/>
      <c r="BI101" s="365"/>
      <c r="BJ101" s="365"/>
      <c r="BK101" s="365"/>
      <c r="BL101" s="365"/>
      <c r="BM101" s="365"/>
      <c r="BN101" s="365"/>
      <c r="BO101" s="365"/>
      <c r="BP101" s="365"/>
      <c r="BQ101" s="365"/>
      <c r="BR101" s="365"/>
      <c r="BS101" s="365"/>
      <c r="BT101" s="365"/>
      <c r="BU101" s="365"/>
      <c r="BV101" s="365"/>
      <c r="BW101" s="365"/>
      <c r="BX101" s="365"/>
      <c r="BY101" s="365"/>
      <c r="BZ101" s="365"/>
      <c r="CA101" s="365"/>
      <c r="CB101" s="365"/>
      <c r="CC101" s="365"/>
      <c r="CD101" s="365"/>
      <c r="CE101" s="365"/>
      <c r="CF101" s="365"/>
      <c r="CG101" s="365"/>
      <c r="CH101" s="365"/>
      <c r="CI101" s="365"/>
      <c r="CJ101" s="365"/>
      <c r="CK101" s="365"/>
      <c r="CL101" s="365"/>
      <c r="CM101" s="365"/>
      <c r="CN101" s="365"/>
      <c r="CO101" s="365"/>
      <c r="CP101" s="365"/>
      <c r="CQ101" s="365"/>
      <c r="CR101" s="365"/>
      <c r="CS101" s="365"/>
      <c r="CT101" s="365"/>
      <c r="CU101" s="365"/>
      <c r="CV101" s="365"/>
      <c r="CW101" s="365"/>
      <c r="CX101" s="365"/>
      <c r="CY101" s="365"/>
      <c r="CZ101" s="365"/>
      <c r="DA101" s="365"/>
      <c r="DB101" s="365"/>
      <c r="DC101" s="365"/>
      <c r="DD101" s="365"/>
      <c r="DE101" s="365"/>
      <c r="DF101" s="365"/>
      <c r="DG101" s="365"/>
      <c r="DH101" s="365"/>
      <c r="DI101" s="365"/>
      <c r="DJ101" s="365"/>
      <c r="DK101" s="365"/>
      <c r="DL101" s="365"/>
      <c r="DM101" s="365"/>
      <c r="DN101" s="365"/>
      <c r="DO101" s="365"/>
      <c r="DP101" s="365"/>
      <c r="DQ101" s="365"/>
      <c r="DR101" s="365"/>
      <c r="DS101" s="365"/>
      <c r="DT101" s="365"/>
      <c r="DU101" s="365"/>
      <c r="DV101" s="365"/>
      <c r="DW101" s="365"/>
      <c r="DX101" s="365"/>
      <c r="DY101" s="365"/>
      <c r="DZ101" s="365"/>
      <c r="EA101" s="365"/>
      <c r="EB101" s="365"/>
      <c r="EC101" s="365"/>
      <c r="ED101" s="365"/>
      <c r="EE101" s="365"/>
      <c r="EF101" s="365"/>
      <c r="EG101" s="365"/>
      <c r="EH101" s="365"/>
      <c r="EI101" s="365"/>
      <c r="EJ101" s="365"/>
      <c r="EK101" s="365"/>
      <c r="EL101" s="365"/>
      <c r="EM101" s="365"/>
      <c r="EN101" s="365"/>
      <c r="EO101" s="365"/>
      <c r="EP101" s="365"/>
      <c r="EQ101" s="365"/>
      <c r="ER101" s="365"/>
      <c r="ES101" s="365"/>
      <c r="ET101" s="365"/>
      <c r="EU101" s="365"/>
      <c r="EV101" s="365"/>
      <c r="EW101" s="365"/>
      <c r="EX101" s="365"/>
      <c r="EY101" s="365"/>
      <c r="EZ101" s="365"/>
      <c r="FA101" s="365"/>
      <c r="FB101" s="365"/>
      <c r="FC101" s="365"/>
      <c r="FD101" s="365"/>
      <c r="FE101" s="365"/>
      <c r="FF101" s="365"/>
      <c r="FG101" s="365"/>
      <c r="FH101" s="365"/>
      <c r="FI101" s="365"/>
      <c r="FJ101" s="365"/>
      <c r="FK101" s="365"/>
      <c r="FL101" s="365"/>
      <c r="FM101" s="365"/>
      <c r="FN101" s="365"/>
      <c r="FO101" s="365"/>
      <c r="FP101" s="365"/>
      <c r="FQ101" s="365"/>
      <c r="FR101" s="365"/>
      <c r="FS101" s="365"/>
      <c r="FT101" s="365"/>
      <c r="FU101" s="365"/>
      <c r="FV101" s="365"/>
      <c r="FW101" s="365"/>
      <c r="FX101" s="365"/>
      <c r="FY101" s="365"/>
      <c r="FZ101" s="365"/>
      <c r="GA101" s="365"/>
      <c r="GB101" s="365"/>
      <c r="GC101" s="365"/>
      <c r="GD101" s="365"/>
      <c r="GE101" s="365"/>
      <c r="GF101" s="365"/>
      <c r="GG101" s="365"/>
      <c r="GH101" s="365"/>
      <c r="GI101" s="365"/>
      <c r="GJ101" s="365"/>
      <c r="GK101" s="365"/>
      <c r="GL101" s="365"/>
      <c r="GM101" s="365"/>
      <c r="GN101" s="365"/>
      <c r="GO101" s="365"/>
      <c r="GP101" s="365"/>
      <c r="GQ101" s="365"/>
      <c r="GR101" s="365"/>
      <c r="GS101" s="365"/>
      <c r="GT101" s="365"/>
      <c r="GU101" s="365"/>
      <c r="GV101" s="365"/>
      <c r="GW101" s="365"/>
      <c r="GX101" s="365"/>
      <c r="GY101" s="365"/>
      <c r="GZ101" s="365"/>
      <c r="HA101" s="365"/>
      <c r="HB101" s="365"/>
      <c r="HC101" s="365"/>
      <c r="HD101" s="365"/>
      <c r="HE101" s="365"/>
      <c r="HF101" s="365"/>
      <c r="HG101" s="365"/>
      <c r="HH101" s="365"/>
      <c r="HI101" s="365"/>
      <c r="HJ101" s="365"/>
      <c r="HK101" s="365"/>
      <c r="HL101" s="365"/>
      <c r="HM101" s="365"/>
      <c r="HN101" s="365"/>
      <c r="HO101" s="365"/>
      <c r="HP101" s="365"/>
      <c r="HQ101" s="365"/>
      <c r="HR101" s="365"/>
      <c r="HS101" s="365"/>
      <c r="HT101" s="365"/>
      <c r="HU101" s="365"/>
      <c r="HV101" s="365"/>
      <c r="HW101" s="365"/>
      <c r="HX101" s="365"/>
      <c r="HY101" s="365"/>
    </row>
    <row r="102" spans="2:6" s="365" customFormat="1" ht="13.5" thickBot="1">
      <c r="B102" s="41" t="s">
        <v>140</v>
      </c>
      <c r="C102" s="206">
        <f>'Existing Management Practices'!C97</f>
        <v>0</v>
      </c>
      <c r="D102" s="118">
        <f>'Existing Management Practices'!D97</f>
        <v>0.15</v>
      </c>
      <c r="E102" s="119">
        <f>'Existing Management Practices'!E97</f>
        <v>0.25</v>
      </c>
      <c r="F102" s="431"/>
    </row>
    <row r="103" spans="1:233" ht="12.75">
      <c r="A103" s="365"/>
      <c r="B103" s="78" t="s">
        <v>141</v>
      </c>
      <c r="C103" s="206">
        <f>'Existing Management Practices'!C98</f>
        <v>0</v>
      </c>
      <c r="D103" s="93">
        <f>'Existing Management Practices'!D98</f>
        <v>0.08</v>
      </c>
      <c r="E103" s="347">
        <f>'Existing Management Practices'!E98</f>
        <v>0.13</v>
      </c>
      <c r="F103" s="368"/>
      <c r="G103" s="365"/>
      <c r="H103" s="365"/>
      <c r="I103" s="365"/>
      <c r="J103" s="365"/>
      <c r="K103" s="365"/>
      <c r="L103" s="365"/>
      <c r="M103" s="365"/>
      <c r="N103" s="365"/>
      <c r="O103" s="365"/>
      <c r="P103" s="365"/>
      <c r="Q103" s="365"/>
      <c r="R103" s="365"/>
      <c r="S103" s="365"/>
      <c r="T103" s="365"/>
      <c r="U103" s="365"/>
      <c r="V103" s="365"/>
      <c r="W103" s="365"/>
      <c r="X103" s="365"/>
      <c r="Y103" s="365"/>
      <c r="Z103" s="365"/>
      <c r="AA103" s="365"/>
      <c r="AB103" s="365"/>
      <c r="AC103" s="365"/>
      <c r="AD103" s="365"/>
      <c r="AE103" s="365"/>
      <c r="AF103" s="365"/>
      <c r="AG103" s="365"/>
      <c r="AH103" s="365"/>
      <c r="AI103" s="365"/>
      <c r="AJ103" s="365"/>
      <c r="AK103" s="365"/>
      <c r="AL103" s="365"/>
      <c r="AM103" s="365"/>
      <c r="AN103" s="365"/>
      <c r="AO103" s="365"/>
      <c r="AP103" s="365"/>
      <c r="AQ103" s="365"/>
      <c r="AR103" s="365"/>
      <c r="AS103" s="365"/>
      <c r="AT103" s="365"/>
      <c r="AU103" s="365"/>
      <c r="AV103" s="365"/>
      <c r="AW103" s="365"/>
      <c r="AX103" s="365"/>
      <c r="AY103" s="365"/>
      <c r="AZ103" s="365"/>
      <c r="BA103" s="365"/>
      <c r="BB103" s="365"/>
      <c r="BC103" s="365"/>
      <c r="BD103" s="365"/>
      <c r="BE103" s="365"/>
      <c r="BF103" s="365"/>
      <c r="BG103" s="365"/>
      <c r="BH103" s="365"/>
      <c r="BI103" s="365"/>
      <c r="BJ103" s="365"/>
      <c r="BK103" s="365"/>
      <c r="BL103" s="365"/>
      <c r="BM103" s="365"/>
      <c r="BN103" s="365"/>
      <c r="BO103" s="365"/>
      <c r="BP103" s="365"/>
      <c r="BQ103" s="365"/>
      <c r="BR103" s="365"/>
      <c r="BS103" s="365"/>
      <c r="BT103" s="365"/>
      <c r="BU103" s="365"/>
      <c r="BV103" s="365"/>
      <c r="BW103" s="365"/>
      <c r="BX103" s="365"/>
      <c r="BY103" s="365"/>
      <c r="BZ103" s="365"/>
      <c r="CA103" s="365"/>
      <c r="CB103" s="365"/>
      <c r="CC103" s="365"/>
      <c r="CD103" s="365"/>
      <c r="CE103" s="365"/>
      <c r="CF103" s="365"/>
      <c r="CG103" s="365"/>
      <c r="CH103" s="365"/>
      <c r="CI103" s="365"/>
      <c r="CJ103" s="365"/>
      <c r="CK103" s="365"/>
      <c r="CL103" s="365"/>
      <c r="CM103" s="365"/>
      <c r="CN103" s="365"/>
      <c r="CO103" s="365"/>
      <c r="CP103" s="365"/>
      <c r="CQ103" s="365"/>
      <c r="CR103" s="365"/>
      <c r="CS103" s="365"/>
      <c r="CT103" s="365"/>
      <c r="CU103" s="365"/>
      <c r="CV103" s="365"/>
      <c r="CW103" s="365"/>
      <c r="CX103" s="365"/>
      <c r="CY103" s="365"/>
      <c r="CZ103" s="365"/>
      <c r="DA103" s="365"/>
      <c r="DB103" s="365"/>
      <c r="DC103" s="365"/>
      <c r="DD103" s="365"/>
      <c r="DE103" s="365"/>
      <c r="DF103" s="365"/>
      <c r="DG103" s="365"/>
      <c r="DH103" s="365"/>
      <c r="DI103" s="365"/>
      <c r="DJ103" s="365"/>
      <c r="DK103" s="365"/>
      <c r="DL103" s="365"/>
      <c r="DM103" s="365"/>
      <c r="DN103" s="365"/>
      <c r="DO103" s="365"/>
      <c r="DP103" s="365"/>
      <c r="DQ103" s="365"/>
      <c r="DR103" s="365"/>
      <c r="DS103" s="365"/>
      <c r="DT103" s="365"/>
      <c r="DU103" s="365"/>
      <c r="DV103" s="365"/>
      <c r="DW103" s="365"/>
      <c r="DX103" s="365"/>
      <c r="DY103" s="365"/>
      <c r="DZ103" s="365"/>
      <c r="EA103" s="365"/>
      <c r="EB103" s="365"/>
      <c r="EC103" s="365"/>
      <c r="ED103" s="365"/>
      <c r="EE103" s="365"/>
      <c r="EF103" s="365"/>
      <c r="EG103" s="365"/>
      <c r="EH103" s="365"/>
      <c r="EI103" s="365"/>
      <c r="EJ103" s="365"/>
      <c r="EK103" s="365"/>
      <c r="EL103" s="365"/>
      <c r="EM103" s="365"/>
      <c r="EN103" s="365"/>
      <c r="EO103" s="365"/>
      <c r="EP103" s="365"/>
      <c r="EQ103" s="365"/>
      <c r="ER103" s="365"/>
      <c r="ES103" s="365"/>
      <c r="ET103" s="365"/>
      <c r="EU103" s="365"/>
      <c r="EV103" s="365"/>
      <c r="EW103" s="365"/>
      <c r="EX103" s="365"/>
      <c r="EY103" s="365"/>
      <c r="EZ103" s="365"/>
      <c r="FA103" s="365"/>
      <c r="FB103" s="365"/>
      <c r="FC103" s="365"/>
      <c r="FD103" s="365"/>
      <c r="FE103" s="365"/>
      <c r="FF103" s="365"/>
      <c r="FG103" s="365"/>
      <c r="FH103" s="365"/>
      <c r="FI103" s="365"/>
      <c r="FJ103" s="365"/>
      <c r="FK103" s="365"/>
      <c r="FL103" s="365"/>
      <c r="FM103" s="365"/>
      <c r="FN103" s="365"/>
      <c r="FO103" s="365"/>
      <c r="FP103" s="365"/>
      <c r="FQ103" s="365"/>
      <c r="FR103" s="365"/>
      <c r="FS103" s="365"/>
      <c r="FT103" s="365"/>
      <c r="FU103" s="365"/>
      <c r="FV103" s="365"/>
      <c r="FW103" s="365"/>
      <c r="FX103" s="365"/>
      <c r="FY103" s="365"/>
      <c r="FZ103" s="365"/>
      <c r="GA103" s="365"/>
      <c r="GB103" s="365"/>
      <c r="GC103" s="365"/>
      <c r="GD103" s="365"/>
      <c r="GE103" s="365"/>
      <c r="GF103" s="365"/>
      <c r="GG103" s="365"/>
      <c r="GH103" s="365"/>
      <c r="GI103" s="365"/>
      <c r="GJ103" s="365"/>
      <c r="GK103" s="365"/>
      <c r="GL103" s="365"/>
      <c r="GM103" s="365"/>
      <c r="GN103" s="365"/>
      <c r="GO103" s="365"/>
      <c r="GP103" s="365"/>
      <c r="GQ103" s="365"/>
      <c r="GR103" s="365"/>
      <c r="GS103" s="365"/>
      <c r="GT103" s="365"/>
      <c r="GU103" s="365"/>
      <c r="GV103" s="365"/>
      <c r="GW103" s="365"/>
      <c r="GX103" s="365"/>
      <c r="GY103" s="365"/>
      <c r="GZ103" s="365"/>
      <c r="HA103" s="365"/>
      <c r="HB103" s="365"/>
      <c r="HC103" s="365"/>
      <c r="HD103" s="365"/>
      <c r="HE103" s="365"/>
      <c r="HF103" s="365"/>
      <c r="HG103" s="365"/>
      <c r="HH103" s="365"/>
      <c r="HI103" s="365"/>
      <c r="HJ103" s="365"/>
      <c r="HK103" s="365"/>
      <c r="HL103" s="365"/>
      <c r="HM103" s="365"/>
      <c r="HN103" s="365"/>
      <c r="HO103" s="365"/>
      <c r="HP103" s="365"/>
      <c r="HQ103" s="365"/>
      <c r="HR103" s="365"/>
      <c r="HS103" s="365"/>
      <c r="HT103" s="365"/>
      <c r="HU103" s="365"/>
      <c r="HV103" s="365"/>
      <c r="HW103" s="365"/>
      <c r="HX103" s="365"/>
      <c r="HY103" s="365"/>
    </row>
    <row r="104" spans="1:233" ht="13.5" thickBot="1">
      <c r="A104" s="365"/>
      <c r="B104" s="282"/>
      <c r="C104" s="283"/>
      <c r="D104" s="366"/>
      <c r="E104" s="367"/>
      <c r="F104" s="368"/>
      <c r="G104" s="365"/>
      <c r="H104" s="365"/>
      <c r="I104" s="365"/>
      <c r="J104" s="365"/>
      <c r="K104" s="365"/>
      <c r="L104" s="365"/>
      <c r="M104" s="365"/>
      <c r="N104" s="365"/>
      <c r="O104" s="365"/>
      <c r="P104" s="365"/>
      <c r="Q104" s="365"/>
      <c r="R104" s="365"/>
      <c r="S104" s="365"/>
      <c r="T104" s="365"/>
      <c r="U104" s="365"/>
      <c r="V104" s="365"/>
      <c r="W104" s="365"/>
      <c r="X104" s="365"/>
      <c r="Y104" s="365"/>
      <c r="Z104" s="365"/>
      <c r="AA104" s="365"/>
      <c r="AB104" s="365"/>
      <c r="AC104" s="365"/>
      <c r="AD104" s="365"/>
      <c r="AE104" s="365"/>
      <c r="AF104" s="365"/>
      <c r="AG104" s="365"/>
      <c r="AH104" s="365"/>
      <c r="AI104" s="365"/>
      <c r="AJ104" s="365"/>
      <c r="AK104" s="365"/>
      <c r="AL104" s="365"/>
      <c r="AM104" s="365"/>
      <c r="AN104" s="365"/>
      <c r="AO104" s="365"/>
      <c r="AP104" s="365"/>
      <c r="AQ104" s="365"/>
      <c r="AR104" s="365"/>
      <c r="AS104" s="365"/>
      <c r="AT104" s="365"/>
      <c r="AU104" s="365"/>
      <c r="AV104" s="365"/>
      <c r="AW104" s="365"/>
      <c r="AX104" s="365"/>
      <c r="AY104" s="365"/>
      <c r="AZ104" s="365"/>
      <c r="BA104" s="365"/>
      <c r="BB104" s="365"/>
      <c r="BC104" s="365"/>
      <c r="BD104" s="365"/>
      <c r="BE104" s="365"/>
      <c r="BF104" s="365"/>
      <c r="BG104" s="365"/>
      <c r="BH104" s="365"/>
      <c r="BI104" s="365"/>
      <c r="BJ104" s="365"/>
      <c r="BK104" s="365"/>
      <c r="BL104" s="365"/>
      <c r="BM104" s="365"/>
      <c r="BN104" s="365"/>
      <c r="BO104" s="365"/>
      <c r="BP104" s="365"/>
      <c r="BQ104" s="365"/>
      <c r="BR104" s="365"/>
      <c r="BS104" s="365"/>
      <c r="BT104" s="365"/>
      <c r="BU104" s="365"/>
      <c r="BV104" s="365"/>
      <c r="BW104" s="365"/>
      <c r="BX104" s="365"/>
      <c r="BY104" s="365"/>
      <c r="BZ104" s="365"/>
      <c r="CA104" s="365"/>
      <c r="CB104" s="365"/>
      <c r="CC104" s="365"/>
      <c r="CD104" s="365"/>
      <c r="CE104" s="365"/>
      <c r="CF104" s="365"/>
      <c r="CG104" s="365"/>
      <c r="CH104" s="365"/>
      <c r="CI104" s="365"/>
      <c r="CJ104" s="365"/>
      <c r="CK104" s="365"/>
      <c r="CL104" s="365"/>
      <c r="CM104" s="365"/>
      <c r="CN104" s="365"/>
      <c r="CO104" s="365"/>
      <c r="CP104" s="365"/>
      <c r="CQ104" s="365"/>
      <c r="CR104" s="365"/>
      <c r="CS104" s="365"/>
      <c r="CT104" s="365"/>
      <c r="CU104" s="365"/>
      <c r="CV104" s="365"/>
      <c r="CW104" s="365"/>
      <c r="CX104" s="365"/>
      <c r="CY104" s="365"/>
      <c r="CZ104" s="365"/>
      <c r="DA104" s="365"/>
      <c r="DB104" s="365"/>
      <c r="DC104" s="365"/>
      <c r="DD104" s="365"/>
      <c r="DE104" s="365"/>
      <c r="DF104" s="365"/>
      <c r="DG104" s="365"/>
      <c r="DH104" s="365"/>
      <c r="DI104" s="365"/>
      <c r="DJ104" s="365"/>
      <c r="DK104" s="365"/>
      <c r="DL104" s="365"/>
      <c r="DM104" s="365"/>
      <c r="DN104" s="365"/>
      <c r="DO104" s="365"/>
      <c r="DP104" s="365"/>
      <c r="DQ104" s="365"/>
      <c r="DR104" s="365"/>
      <c r="DS104" s="365"/>
      <c r="DT104" s="365"/>
      <c r="DU104" s="365"/>
      <c r="DV104" s="365"/>
      <c r="DW104" s="365"/>
      <c r="DX104" s="365"/>
      <c r="DY104" s="365"/>
      <c r="DZ104" s="365"/>
      <c r="EA104" s="365"/>
      <c r="EB104" s="365"/>
      <c r="EC104" s="365"/>
      <c r="ED104" s="365"/>
      <c r="EE104" s="365"/>
      <c r="EF104" s="365"/>
      <c r="EG104" s="365"/>
      <c r="EH104" s="365"/>
      <c r="EI104" s="365"/>
      <c r="EJ104" s="365"/>
      <c r="EK104" s="365"/>
      <c r="EL104" s="365"/>
      <c r="EM104" s="365"/>
      <c r="EN104" s="365"/>
      <c r="EO104" s="365"/>
      <c r="EP104" s="365"/>
      <c r="EQ104" s="365"/>
      <c r="ER104" s="365"/>
      <c r="ES104" s="365"/>
      <c r="ET104" s="365"/>
      <c r="EU104" s="365"/>
      <c r="EV104" s="365"/>
      <c r="EW104" s="365"/>
      <c r="EX104" s="365"/>
      <c r="EY104" s="365"/>
      <c r="EZ104" s="365"/>
      <c r="FA104" s="365"/>
      <c r="FB104" s="365"/>
      <c r="FC104" s="365"/>
      <c r="FD104" s="365"/>
      <c r="FE104" s="365"/>
      <c r="FF104" s="365"/>
      <c r="FG104" s="365"/>
      <c r="FH104" s="365"/>
      <c r="FI104" s="365"/>
      <c r="FJ104" s="365"/>
      <c r="FK104" s="365"/>
      <c r="FL104" s="365"/>
      <c r="FM104" s="365"/>
      <c r="FN104" s="365"/>
      <c r="FO104" s="365"/>
      <c r="FP104" s="365"/>
      <c r="FQ104" s="365"/>
      <c r="FR104" s="365"/>
      <c r="FS104" s="365"/>
      <c r="FT104" s="365"/>
      <c r="FU104" s="365"/>
      <c r="FV104" s="365"/>
      <c r="FW104" s="365"/>
      <c r="FX104" s="365"/>
      <c r="FY104" s="365"/>
      <c r="FZ104" s="365"/>
      <c r="GA104" s="365"/>
      <c r="GB104" s="365"/>
      <c r="GC104" s="365"/>
      <c r="GD104" s="365"/>
      <c r="GE104" s="365"/>
      <c r="GF104" s="365"/>
      <c r="GG104" s="365"/>
      <c r="GH104" s="365"/>
      <c r="GI104" s="365"/>
      <c r="GJ104" s="365"/>
      <c r="GK104" s="365"/>
      <c r="GL104" s="365"/>
      <c r="GM104" s="365"/>
      <c r="GN104" s="365"/>
      <c r="GO104" s="365"/>
      <c r="GP104" s="365"/>
      <c r="GQ104" s="365"/>
      <c r="GR104" s="365"/>
      <c r="GS104" s="365"/>
      <c r="GT104" s="365"/>
      <c r="GU104" s="365"/>
      <c r="GV104" s="365"/>
      <c r="GW104" s="365"/>
      <c r="GX104" s="365"/>
      <c r="GY104" s="365"/>
      <c r="GZ104" s="365"/>
      <c r="HA104" s="365"/>
      <c r="HB104" s="365"/>
      <c r="HC104" s="365"/>
      <c r="HD104" s="365"/>
      <c r="HE104" s="365"/>
      <c r="HF104" s="365"/>
      <c r="HG104" s="365"/>
      <c r="HH104" s="365"/>
      <c r="HI104" s="365"/>
      <c r="HJ104" s="365"/>
      <c r="HK104" s="365"/>
      <c r="HL104" s="365"/>
      <c r="HM104" s="365"/>
      <c r="HN104" s="365"/>
      <c r="HO104" s="365"/>
      <c r="HP104" s="365"/>
      <c r="HQ104" s="365"/>
      <c r="HR104" s="365"/>
      <c r="HS104" s="365"/>
      <c r="HT104" s="365"/>
      <c r="HU104" s="365"/>
      <c r="HV104" s="365"/>
      <c r="HW104" s="365"/>
      <c r="HX104" s="365"/>
      <c r="HY104" s="365"/>
    </row>
    <row r="105" spans="2:8" s="365" customFormat="1" ht="13.5" thickBot="1">
      <c r="B105" s="169" t="s">
        <v>257</v>
      </c>
      <c r="C105" s="390">
        <f>'Existing Management Practices'!C100</f>
        <v>0</v>
      </c>
      <c r="D105" s="364"/>
      <c r="E105" s="353"/>
      <c r="F105" s="368"/>
      <c r="G105" s="421"/>
      <c r="H105" s="368"/>
    </row>
    <row r="106" spans="2:6" s="365" customFormat="1" ht="14.25" thickBot="1" thickTop="1">
      <c r="B106" s="377"/>
      <c r="D106" s="421"/>
      <c r="E106" s="421"/>
      <c r="F106" s="421"/>
    </row>
    <row r="107" spans="1:233" ht="21.75" thickBot="1" thickTop="1">
      <c r="A107" s="365"/>
      <c r="B107" s="435" t="s">
        <v>142</v>
      </c>
      <c r="C107" s="466"/>
      <c r="D107" s="365"/>
      <c r="E107" s="365"/>
      <c r="F107" s="365"/>
      <c r="G107" s="365"/>
      <c r="H107" s="365"/>
      <c r="I107" s="365"/>
      <c r="J107" s="365"/>
      <c r="K107" s="365"/>
      <c r="L107" s="365"/>
      <c r="M107" s="365"/>
      <c r="N107" s="365"/>
      <c r="O107" s="365"/>
      <c r="P107" s="365"/>
      <c r="Q107" s="365"/>
      <c r="R107" s="365"/>
      <c r="S107" s="365"/>
      <c r="T107" s="365"/>
      <c r="U107" s="365"/>
      <c r="V107" s="365"/>
      <c r="W107" s="365"/>
      <c r="X107" s="365"/>
      <c r="Y107" s="365"/>
      <c r="Z107" s="365"/>
      <c r="AA107" s="365"/>
      <c r="AB107" s="365"/>
      <c r="AC107" s="365"/>
      <c r="AD107" s="365"/>
      <c r="AE107" s="365"/>
      <c r="AF107" s="365"/>
      <c r="AG107" s="365"/>
      <c r="AH107" s="365"/>
      <c r="AI107" s="365"/>
      <c r="AJ107" s="365"/>
      <c r="AK107" s="365"/>
      <c r="AL107" s="365"/>
      <c r="AM107" s="365"/>
      <c r="AN107" s="365"/>
      <c r="AO107" s="365"/>
      <c r="AP107" s="365"/>
      <c r="AQ107" s="365"/>
      <c r="AR107" s="365"/>
      <c r="AS107" s="365"/>
      <c r="AT107" s="365"/>
      <c r="AU107" s="365"/>
      <c r="AV107" s="365"/>
      <c r="AW107" s="365"/>
      <c r="AX107" s="365"/>
      <c r="AY107" s="365"/>
      <c r="AZ107" s="365"/>
      <c r="BA107" s="365"/>
      <c r="BB107" s="365"/>
      <c r="BC107" s="365"/>
      <c r="BD107" s="365"/>
      <c r="BE107" s="365"/>
      <c r="BF107" s="365"/>
      <c r="BG107" s="365"/>
      <c r="BH107" s="365"/>
      <c r="BI107" s="365"/>
      <c r="BJ107" s="365"/>
      <c r="BK107" s="365"/>
      <c r="BL107" s="365"/>
      <c r="BM107" s="365"/>
      <c r="BN107" s="365"/>
      <c r="BO107" s="365"/>
      <c r="BP107" s="365"/>
      <c r="BQ107" s="365"/>
      <c r="BR107" s="365"/>
      <c r="BS107" s="365"/>
      <c r="BT107" s="365"/>
      <c r="BU107" s="365"/>
      <c r="BV107" s="365"/>
      <c r="BW107" s="365"/>
      <c r="BX107" s="365"/>
      <c r="BY107" s="365"/>
      <c r="BZ107" s="365"/>
      <c r="CA107" s="365"/>
      <c r="CB107" s="365"/>
      <c r="CC107" s="365"/>
      <c r="CD107" s="365"/>
      <c r="CE107" s="365"/>
      <c r="CF107" s="365"/>
      <c r="CG107" s="365"/>
      <c r="CH107" s="365"/>
      <c r="CI107" s="365"/>
      <c r="CJ107" s="365"/>
      <c r="CK107" s="365"/>
      <c r="CL107" s="365"/>
      <c r="CM107" s="365"/>
      <c r="CN107" s="365"/>
      <c r="CO107" s="365"/>
      <c r="CP107" s="365"/>
      <c r="CQ107" s="365"/>
      <c r="CR107" s="365"/>
      <c r="CS107" s="365"/>
      <c r="CT107" s="365"/>
      <c r="CU107" s="365"/>
      <c r="CV107" s="365"/>
      <c r="CW107" s="365"/>
      <c r="CX107" s="365"/>
      <c r="CY107" s="365"/>
      <c r="CZ107" s="365"/>
      <c r="DA107" s="365"/>
      <c r="DB107" s="365"/>
      <c r="DC107" s="365"/>
      <c r="DD107" s="365"/>
      <c r="DE107" s="365"/>
      <c r="DF107" s="365"/>
      <c r="DG107" s="365"/>
      <c r="DH107" s="365"/>
      <c r="DI107" s="365"/>
      <c r="DJ107" s="365"/>
      <c r="DK107" s="365"/>
      <c r="DL107" s="365"/>
      <c r="DM107" s="365"/>
      <c r="DN107" s="365"/>
      <c r="DO107" s="365"/>
      <c r="DP107" s="365"/>
      <c r="DQ107" s="365"/>
      <c r="DR107" s="365"/>
      <c r="DS107" s="365"/>
      <c r="DT107" s="365"/>
      <c r="DU107" s="365"/>
      <c r="DV107" s="365"/>
      <c r="DW107" s="365"/>
      <c r="DX107" s="365"/>
      <c r="DY107" s="365"/>
      <c r="DZ107" s="365"/>
      <c r="EA107" s="365"/>
      <c r="EB107" s="365"/>
      <c r="EC107" s="365"/>
      <c r="ED107" s="365"/>
      <c r="EE107" s="365"/>
      <c r="EF107" s="365"/>
      <c r="EG107" s="365"/>
      <c r="EH107" s="365"/>
      <c r="EI107" s="365"/>
      <c r="EJ107" s="365"/>
      <c r="EK107" s="365"/>
      <c r="EL107" s="365"/>
      <c r="EM107" s="365"/>
      <c r="EN107" s="365"/>
      <c r="EO107" s="365"/>
      <c r="EP107" s="365"/>
      <c r="EQ107" s="365"/>
      <c r="ER107" s="365"/>
      <c r="ES107" s="365"/>
      <c r="ET107" s="365"/>
      <c r="EU107" s="365"/>
      <c r="EV107" s="365"/>
      <c r="EW107" s="365"/>
      <c r="EX107" s="365"/>
      <c r="EY107" s="365"/>
      <c r="EZ107" s="365"/>
      <c r="FA107" s="365"/>
      <c r="FB107" s="365"/>
      <c r="FC107" s="365"/>
      <c r="FD107" s="365"/>
      <c r="FE107" s="365"/>
      <c r="FF107" s="365"/>
      <c r="FG107" s="365"/>
      <c r="FH107" s="365"/>
      <c r="FI107" s="365"/>
      <c r="FJ107" s="365"/>
      <c r="FK107" s="365"/>
      <c r="FL107" s="365"/>
      <c r="FM107" s="365"/>
      <c r="FN107" s="365"/>
      <c r="FO107" s="365"/>
      <c r="FP107" s="365"/>
      <c r="FQ107" s="365"/>
      <c r="FR107" s="365"/>
      <c r="FS107" s="365"/>
      <c r="FT107" s="365"/>
      <c r="FU107" s="365"/>
      <c r="FV107" s="365"/>
      <c r="FW107" s="365"/>
      <c r="FX107" s="365"/>
      <c r="FY107" s="365"/>
      <c r="FZ107" s="365"/>
      <c r="GA107" s="365"/>
      <c r="GB107" s="365"/>
      <c r="GC107" s="365"/>
      <c r="GD107" s="365"/>
      <c r="GE107" s="365"/>
      <c r="GF107" s="365"/>
      <c r="GG107" s="365"/>
      <c r="GH107" s="365"/>
      <c r="GI107" s="365"/>
      <c r="GJ107" s="365"/>
      <c r="GK107" s="365"/>
      <c r="GL107" s="365"/>
      <c r="GM107" s="365"/>
      <c r="GN107" s="365"/>
      <c r="GO107" s="365"/>
      <c r="GP107" s="365"/>
      <c r="GQ107" s="365"/>
      <c r="GR107" s="365"/>
      <c r="GS107" s="365"/>
      <c r="GT107" s="365"/>
      <c r="GU107" s="365"/>
      <c r="GV107" s="365"/>
      <c r="GW107" s="365"/>
      <c r="GX107" s="365"/>
      <c r="GY107" s="365"/>
      <c r="GZ107" s="365"/>
      <c r="HA107" s="365"/>
      <c r="HB107" s="365"/>
      <c r="HC107" s="365"/>
      <c r="HD107" s="365"/>
      <c r="HE107" s="365"/>
      <c r="HF107" s="365"/>
      <c r="HG107" s="365"/>
      <c r="HH107" s="365"/>
      <c r="HI107" s="365"/>
      <c r="HJ107" s="365"/>
      <c r="HK107" s="365"/>
      <c r="HL107" s="365"/>
      <c r="HM107" s="365"/>
      <c r="HN107" s="365"/>
      <c r="HO107" s="365"/>
      <c r="HP107" s="365"/>
      <c r="HQ107" s="365"/>
      <c r="HR107" s="365"/>
      <c r="HS107" s="365"/>
      <c r="HT107" s="365"/>
      <c r="HU107" s="365"/>
      <c r="HV107" s="365"/>
      <c r="HW107" s="365"/>
      <c r="HX107" s="365"/>
      <c r="HY107" s="365"/>
    </row>
    <row r="108" spans="1:233" ht="12.75">
      <c r="A108" s="365"/>
      <c r="B108" s="41"/>
      <c r="C108" s="43"/>
      <c r="D108" s="365"/>
      <c r="E108" s="365"/>
      <c r="F108" s="365"/>
      <c r="G108" s="365"/>
      <c r="H108" s="365"/>
      <c r="I108" s="365"/>
      <c r="J108" s="365"/>
      <c r="K108" s="365"/>
      <c r="L108" s="365"/>
      <c r="M108" s="365"/>
      <c r="N108" s="365"/>
      <c r="O108" s="365"/>
      <c r="P108" s="365"/>
      <c r="Q108" s="365"/>
      <c r="R108" s="365"/>
      <c r="S108" s="365"/>
      <c r="T108" s="365"/>
      <c r="U108" s="365"/>
      <c r="V108" s="365"/>
      <c r="W108" s="365"/>
      <c r="X108" s="365"/>
      <c r="Y108" s="365"/>
      <c r="Z108" s="365"/>
      <c r="AA108" s="365"/>
      <c r="AB108" s="365"/>
      <c r="AC108" s="365"/>
      <c r="AD108" s="365"/>
      <c r="AE108" s="365"/>
      <c r="AF108" s="365"/>
      <c r="AG108" s="365"/>
      <c r="AH108" s="365"/>
      <c r="AI108" s="365"/>
      <c r="AJ108" s="365"/>
      <c r="AK108" s="365"/>
      <c r="AL108" s="365"/>
      <c r="AM108" s="365"/>
      <c r="AN108" s="365"/>
      <c r="AO108" s="365"/>
      <c r="AP108" s="365"/>
      <c r="AQ108" s="365"/>
      <c r="AR108" s="365"/>
      <c r="AS108" s="365"/>
      <c r="AT108" s="365"/>
      <c r="AU108" s="365"/>
      <c r="AV108" s="365"/>
      <c r="AW108" s="365"/>
      <c r="AX108" s="365"/>
      <c r="AY108" s="365"/>
      <c r="AZ108" s="365"/>
      <c r="BA108" s="365"/>
      <c r="BB108" s="365"/>
      <c r="BC108" s="365"/>
      <c r="BD108" s="365"/>
      <c r="BE108" s="365"/>
      <c r="BF108" s="365"/>
      <c r="BG108" s="365"/>
      <c r="BH108" s="365"/>
      <c r="BI108" s="365"/>
      <c r="BJ108" s="365"/>
      <c r="BK108" s="365"/>
      <c r="BL108" s="365"/>
      <c r="BM108" s="365"/>
      <c r="BN108" s="365"/>
      <c r="BO108" s="365"/>
      <c r="BP108" s="365"/>
      <c r="BQ108" s="365"/>
      <c r="BR108" s="365"/>
      <c r="BS108" s="365"/>
      <c r="BT108" s="365"/>
      <c r="BU108" s="365"/>
      <c r="BV108" s="365"/>
      <c r="BW108" s="365"/>
      <c r="BX108" s="365"/>
      <c r="BY108" s="365"/>
      <c r="BZ108" s="365"/>
      <c r="CA108" s="365"/>
      <c r="CB108" s="365"/>
      <c r="CC108" s="365"/>
      <c r="CD108" s="365"/>
      <c r="CE108" s="365"/>
      <c r="CF108" s="365"/>
      <c r="CG108" s="365"/>
      <c r="CH108" s="365"/>
      <c r="CI108" s="365"/>
      <c r="CJ108" s="365"/>
      <c r="CK108" s="365"/>
      <c r="CL108" s="365"/>
      <c r="CM108" s="365"/>
      <c r="CN108" s="365"/>
      <c r="CO108" s="365"/>
      <c r="CP108" s="365"/>
      <c r="CQ108" s="365"/>
      <c r="CR108" s="365"/>
      <c r="CS108" s="365"/>
      <c r="CT108" s="365"/>
      <c r="CU108" s="365"/>
      <c r="CV108" s="365"/>
      <c r="CW108" s="365"/>
      <c r="CX108" s="365"/>
      <c r="CY108" s="365"/>
      <c r="CZ108" s="365"/>
      <c r="DA108" s="365"/>
      <c r="DB108" s="365"/>
      <c r="DC108" s="365"/>
      <c r="DD108" s="365"/>
      <c r="DE108" s="365"/>
      <c r="DF108" s="365"/>
      <c r="DG108" s="365"/>
      <c r="DH108" s="365"/>
      <c r="DI108" s="365"/>
      <c r="DJ108" s="365"/>
      <c r="DK108" s="365"/>
      <c r="DL108" s="365"/>
      <c r="DM108" s="365"/>
      <c r="DN108" s="365"/>
      <c r="DO108" s="365"/>
      <c r="DP108" s="365"/>
      <c r="DQ108" s="365"/>
      <c r="DR108" s="365"/>
      <c r="DS108" s="365"/>
      <c r="DT108" s="365"/>
      <c r="DU108" s="365"/>
      <c r="DV108" s="365"/>
      <c r="DW108" s="365"/>
      <c r="DX108" s="365"/>
      <c r="DY108" s="365"/>
      <c r="DZ108" s="365"/>
      <c r="EA108" s="365"/>
      <c r="EB108" s="365"/>
      <c r="EC108" s="365"/>
      <c r="ED108" s="365"/>
      <c r="EE108" s="365"/>
      <c r="EF108" s="365"/>
      <c r="EG108" s="365"/>
      <c r="EH108" s="365"/>
      <c r="EI108" s="365"/>
      <c r="EJ108" s="365"/>
      <c r="EK108" s="365"/>
      <c r="EL108" s="365"/>
      <c r="EM108" s="365"/>
      <c r="EN108" s="365"/>
      <c r="EO108" s="365"/>
      <c r="EP108" s="365"/>
      <c r="EQ108" s="365"/>
      <c r="ER108" s="365"/>
      <c r="ES108" s="365"/>
      <c r="ET108" s="365"/>
      <c r="EU108" s="365"/>
      <c r="EV108" s="365"/>
      <c r="EW108" s="365"/>
      <c r="EX108" s="365"/>
      <c r="EY108" s="365"/>
      <c r="EZ108" s="365"/>
      <c r="FA108" s="365"/>
      <c r="FB108" s="365"/>
      <c r="FC108" s="365"/>
      <c r="FD108" s="365"/>
      <c r="FE108" s="365"/>
      <c r="FF108" s="365"/>
      <c r="FG108" s="365"/>
      <c r="FH108" s="365"/>
      <c r="FI108" s="365"/>
      <c r="FJ108" s="365"/>
      <c r="FK108" s="365"/>
      <c r="FL108" s="365"/>
      <c r="FM108" s="365"/>
      <c r="FN108" s="365"/>
      <c r="FO108" s="365"/>
      <c r="FP108" s="365"/>
      <c r="FQ108" s="365"/>
      <c r="FR108" s="365"/>
      <c r="FS108" s="365"/>
      <c r="FT108" s="365"/>
      <c r="FU108" s="365"/>
      <c r="FV108" s="365"/>
      <c r="FW108" s="365"/>
      <c r="FX108" s="365"/>
      <c r="FY108" s="365"/>
      <c r="FZ108" s="365"/>
      <c r="GA108" s="365"/>
      <c r="GB108" s="365"/>
      <c r="GC108" s="365"/>
      <c r="GD108" s="365"/>
      <c r="GE108" s="365"/>
      <c r="GF108" s="365"/>
      <c r="GG108" s="365"/>
      <c r="GH108" s="365"/>
      <c r="GI108" s="365"/>
      <c r="GJ108" s="365"/>
      <c r="GK108" s="365"/>
      <c r="GL108" s="365"/>
      <c r="GM108" s="365"/>
      <c r="GN108" s="365"/>
      <c r="GO108" s="365"/>
      <c r="GP108" s="365"/>
      <c r="GQ108" s="365"/>
      <c r="GR108" s="365"/>
      <c r="GS108" s="365"/>
      <c r="GT108" s="365"/>
      <c r="GU108" s="365"/>
      <c r="GV108" s="365"/>
      <c r="GW108" s="365"/>
      <c r="GX108" s="365"/>
      <c r="GY108" s="365"/>
      <c r="GZ108" s="365"/>
      <c r="HA108" s="365"/>
      <c r="HB108" s="365"/>
      <c r="HC108" s="365"/>
      <c r="HD108" s="365"/>
      <c r="HE108" s="365"/>
      <c r="HF108" s="365"/>
      <c r="HG108" s="365"/>
      <c r="HH108" s="365"/>
      <c r="HI108" s="365"/>
      <c r="HJ108" s="365"/>
      <c r="HK108" s="365"/>
      <c r="HL108" s="365"/>
      <c r="HM108" s="365"/>
      <c r="HN108" s="365"/>
      <c r="HO108" s="365"/>
      <c r="HP108" s="365"/>
      <c r="HQ108" s="365"/>
      <c r="HR108" s="365"/>
      <c r="HS108" s="365"/>
      <c r="HT108" s="365"/>
      <c r="HU108" s="365"/>
      <c r="HV108" s="365"/>
      <c r="HW108" s="365"/>
      <c r="HX108" s="365"/>
      <c r="HY108" s="365"/>
    </row>
    <row r="109" spans="1:233" ht="12.75">
      <c r="A109" s="365"/>
      <c r="B109" s="78" t="s">
        <v>143</v>
      </c>
      <c r="C109" s="339">
        <f>'Existing Management Practices'!C104</f>
        <v>0</v>
      </c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  <c r="P109" s="365"/>
      <c r="Q109" s="365"/>
      <c r="R109" s="365"/>
      <c r="S109" s="365"/>
      <c r="T109" s="365"/>
      <c r="U109" s="365"/>
      <c r="V109" s="365"/>
      <c r="W109" s="365"/>
      <c r="X109" s="365"/>
      <c r="Y109" s="365"/>
      <c r="Z109" s="365"/>
      <c r="AA109" s="365"/>
      <c r="AB109" s="365"/>
      <c r="AC109" s="365"/>
      <c r="AD109" s="365"/>
      <c r="AE109" s="365"/>
      <c r="AF109" s="365"/>
      <c r="AG109" s="365"/>
      <c r="AH109" s="365"/>
      <c r="AI109" s="365"/>
      <c r="AJ109" s="365"/>
      <c r="AK109" s="365"/>
      <c r="AL109" s="365"/>
      <c r="AM109" s="365"/>
      <c r="AN109" s="365"/>
      <c r="AO109" s="365"/>
      <c r="AP109" s="365"/>
      <c r="AQ109" s="365"/>
      <c r="AR109" s="365"/>
      <c r="AS109" s="365"/>
      <c r="AT109" s="365"/>
      <c r="AU109" s="365"/>
      <c r="AV109" s="365"/>
      <c r="AW109" s="365"/>
      <c r="AX109" s="365"/>
      <c r="AY109" s="365"/>
      <c r="AZ109" s="365"/>
      <c r="BA109" s="365"/>
      <c r="BB109" s="365"/>
      <c r="BC109" s="365"/>
      <c r="BD109" s="365"/>
      <c r="BE109" s="365"/>
      <c r="BF109" s="365"/>
      <c r="BG109" s="365"/>
      <c r="BH109" s="365"/>
      <c r="BI109" s="365"/>
      <c r="BJ109" s="365"/>
      <c r="BK109" s="365"/>
      <c r="BL109" s="365"/>
      <c r="BM109" s="365"/>
      <c r="BN109" s="365"/>
      <c r="BO109" s="365"/>
      <c r="BP109" s="365"/>
      <c r="BQ109" s="365"/>
      <c r="BR109" s="365"/>
      <c r="BS109" s="365"/>
      <c r="BT109" s="365"/>
      <c r="BU109" s="365"/>
      <c r="BV109" s="365"/>
      <c r="BW109" s="365"/>
      <c r="BX109" s="365"/>
      <c r="BY109" s="365"/>
      <c r="BZ109" s="365"/>
      <c r="CA109" s="365"/>
      <c r="CB109" s="365"/>
      <c r="CC109" s="365"/>
      <c r="CD109" s="365"/>
      <c r="CE109" s="365"/>
      <c r="CF109" s="365"/>
      <c r="CG109" s="365"/>
      <c r="CH109" s="365"/>
      <c r="CI109" s="365"/>
      <c r="CJ109" s="365"/>
      <c r="CK109" s="365"/>
      <c r="CL109" s="365"/>
      <c r="CM109" s="365"/>
      <c r="CN109" s="365"/>
      <c r="CO109" s="365"/>
      <c r="CP109" s="365"/>
      <c r="CQ109" s="365"/>
      <c r="CR109" s="365"/>
      <c r="CS109" s="365"/>
      <c r="CT109" s="365"/>
      <c r="CU109" s="365"/>
      <c r="CV109" s="365"/>
      <c r="CW109" s="365"/>
      <c r="CX109" s="365"/>
      <c r="CY109" s="365"/>
      <c r="CZ109" s="365"/>
      <c r="DA109" s="365"/>
      <c r="DB109" s="365"/>
      <c r="DC109" s="365"/>
      <c r="DD109" s="365"/>
      <c r="DE109" s="365"/>
      <c r="DF109" s="365"/>
      <c r="DG109" s="365"/>
      <c r="DH109" s="365"/>
      <c r="DI109" s="365"/>
      <c r="DJ109" s="365"/>
      <c r="DK109" s="365"/>
      <c r="DL109" s="365"/>
      <c r="DM109" s="365"/>
      <c r="DN109" s="365"/>
      <c r="DO109" s="365"/>
      <c r="DP109" s="365"/>
      <c r="DQ109" s="365"/>
      <c r="DR109" s="365"/>
      <c r="DS109" s="365"/>
      <c r="DT109" s="365"/>
      <c r="DU109" s="365"/>
      <c r="DV109" s="365"/>
      <c r="DW109" s="365"/>
      <c r="DX109" s="365"/>
      <c r="DY109" s="365"/>
      <c r="DZ109" s="365"/>
      <c r="EA109" s="365"/>
      <c r="EB109" s="365"/>
      <c r="EC109" s="365"/>
      <c r="ED109" s="365"/>
      <c r="EE109" s="365"/>
      <c r="EF109" s="365"/>
      <c r="EG109" s="365"/>
      <c r="EH109" s="365"/>
      <c r="EI109" s="365"/>
      <c r="EJ109" s="365"/>
      <c r="EK109" s="365"/>
      <c r="EL109" s="365"/>
      <c r="EM109" s="365"/>
      <c r="EN109" s="365"/>
      <c r="EO109" s="365"/>
      <c r="EP109" s="365"/>
      <c r="EQ109" s="365"/>
      <c r="ER109" s="365"/>
      <c r="ES109" s="365"/>
      <c r="ET109" s="365"/>
      <c r="EU109" s="365"/>
      <c r="EV109" s="365"/>
      <c r="EW109" s="365"/>
      <c r="EX109" s="365"/>
      <c r="EY109" s="365"/>
      <c r="EZ109" s="365"/>
      <c r="FA109" s="365"/>
      <c r="FB109" s="365"/>
      <c r="FC109" s="365"/>
      <c r="FD109" s="365"/>
      <c r="FE109" s="365"/>
      <c r="FF109" s="365"/>
      <c r="FG109" s="365"/>
      <c r="FH109" s="365"/>
      <c r="FI109" s="365"/>
      <c r="FJ109" s="365"/>
      <c r="FK109" s="365"/>
      <c r="FL109" s="365"/>
      <c r="FM109" s="365"/>
      <c r="FN109" s="365"/>
      <c r="FO109" s="365"/>
      <c r="FP109" s="365"/>
      <c r="FQ109" s="365"/>
      <c r="FR109" s="365"/>
      <c r="FS109" s="365"/>
      <c r="FT109" s="365"/>
      <c r="FU109" s="365"/>
      <c r="FV109" s="365"/>
      <c r="FW109" s="365"/>
      <c r="FX109" s="365"/>
      <c r="FY109" s="365"/>
      <c r="FZ109" s="365"/>
      <c r="GA109" s="365"/>
      <c r="GB109" s="365"/>
      <c r="GC109" s="365"/>
      <c r="GD109" s="365"/>
      <c r="GE109" s="365"/>
      <c r="GF109" s="365"/>
      <c r="GG109" s="365"/>
      <c r="GH109" s="365"/>
      <c r="GI109" s="365"/>
      <c r="GJ109" s="365"/>
      <c r="GK109" s="365"/>
      <c r="GL109" s="365"/>
      <c r="GM109" s="365"/>
      <c r="GN109" s="365"/>
      <c r="GO109" s="365"/>
      <c r="GP109" s="365"/>
      <c r="GQ109" s="365"/>
      <c r="GR109" s="365"/>
      <c r="GS109" s="365"/>
      <c r="GT109" s="365"/>
      <c r="GU109" s="365"/>
      <c r="GV109" s="365"/>
      <c r="GW109" s="365"/>
      <c r="GX109" s="365"/>
      <c r="GY109" s="365"/>
      <c r="GZ109" s="365"/>
      <c r="HA109" s="365"/>
      <c r="HB109" s="365"/>
      <c r="HC109" s="365"/>
      <c r="HD109" s="365"/>
      <c r="HE109" s="365"/>
      <c r="HF109" s="365"/>
      <c r="HG109" s="365"/>
      <c r="HH109" s="365"/>
      <c r="HI109" s="365"/>
      <c r="HJ109" s="365"/>
      <c r="HK109" s="365"/>
      <c r="HL109" s="365"/>
      <c r="HM109" s="365"/>
      <c r="HN109" s="365"/>
      <c r="HO109" s="365"/>
      <c r="HP109" s="365"/>
      <c r="HQ109" s="365"/>
      <c r="HR109" s="365"/>
      <c r="HS109" s="365"/>
      <c r="HT109" s="365"/>
      <c r="HU109" s="365"/>
      <c r="HV109" s="365"/>
      <c r="HW109" s="365"/>
      <c r="HX109" s="365"/>
      <c r="HY109" s="365"/>
    </row>
    <row r="110" spans="1:233" ht="12.75">
      <c r="A110" s="365"/>
      <c r="B110" s="78" t="s">
        <v>144</v>
      </c>
      <c r="C110" s="340">
        <f>'Existing Management Practices'!C105</f>
        <v>160</v>
      </c>
      <c r="D110" s="365"/>
      <c r="E110" s="365"/>
      <c r="F110" s="365"/>
      <c r="G110" s="365"/>
      <c r="H110" s="365"/>
      <c r="I110" s="365"/>
      <c r="J110" s="365"/>
      <c r="K110" s="365"/>
      <c r="L110" s="365"/>
      <c r="M110" s="365"/>
      <c r="N110" s="365"/>
      <c r="O110" s="365"/>
      <c r="P110" s="365"/>
      <c r="Q110" s="365"/>
      <c r="R110" s="365"/>
      <c r="S110" s="365"/>
      <c r="T110" s="365"/>
      <c r="U110" s="365"/>
      <c r="V110" s="365"/>
      <c r="W110" s="365"/>
      <c r="X110" s="365"/>
      <c r="Y110" s="365"/>
      <c r="Z110" s="365"/>
      <c r="AA110" s="365"/>
      <c r="AB110" s="365"/>
      <c r="AC110" s="365"/>
      <c r="AD110" s="365"/>
      <c r="AE110" s="365"/>
      <c r="AF110" s="365"/>
      <c r="AG110" s="365"/>
      <c r="AH110" s="365"/>
      <c r="AI110" s="365"/>
      <c r="AJ110" s="365"/>
      <c r="AK110" s="365"/>
      <c r="AL110" s="365"/>
      <c r="AM110" s="365"/>
      <c r="AN110" s="365"/>
      <c r="AO110" s="365"/>
      <c r="AP110" s="365"/>
      <c r="AQ110" s="365"/>
      <c r="AR110" s="365"/>
      <c r="AS110" s="365"/>
      <c r="AT110" s="365"/>
      <c r="AU110" s="365"/>
      <c r="AV110" s="365"/>
      <c r="AW110" s="365"/>
      <c r="AX110" s="365"/>
      <c r="AY110" s="365"/>
      <c r="AZ110" s="365"/>
      <c r="BA110" s="365"/>
      <c r="BB110" s="365"/>
      <c r="BC110" s="365"/>
      <c r="BD110" s="365"/>
      <c r="BE110" s="365"/>
      <c r="BF110" s="365"/>
      <c r="BG110" s="365"/>
      <c r="BH110" s="365"/>
      <c r="BI110" s="365"/>
      <c r="BJ110" s="365"/>
      <c r="BK110" s="365"/>
      <c r="BL110" s="365"/>
      <c r="BM110" s="365"/>
      <c r="BN110" s="365"/>
      <c r="BO110" s="365"/>
      <c r="BP110" s="365"/>
      <c r="BQ110" s="365"/>
      <c r="BR110" s="365"/>
      <c r="BS110" s="365"/>
      <c r="BT110" s="365"/>
      <c r="BU110" s="365"/>
      <c r="BV110" s="365"/>
      <c r="BW110" s="365"/>
      <c r="BX110" s="365"/>
      <c r="BY110" s="365"/>
      <c r="BZ110" s="365"/>
      <c r="CA110" s="365"/>
      <c r="CB110" s="365"/>
      <c r="CC110" s="365"/>
      <c r="CD110" s="365"/>
      <c r="CE110" s="365"/>
      <c r="CF110" s="365"/>
      <c r="CG110" s="365"/>
      <c r="CH110" s="365"/>
      <c r="CI110" s="365"/>
      <c r="CJ110" s="365"/>
      <c r="CK110" s="365"/>
      <c r="CL110" s="365"/>
      <c r="CM110" s="365"/>
      <c r="CN110" s="365"/>
      <c r="CO110" s="365"/>
      <c r="CP110" s="365"/>
      <c r="CQ110" s="365"/>
      <c r="CR110" s="365"/>
      <c r="CS110" s="365"/>
      <c r="CT110" s="365"/>
      <c r="CU110" s="365"/>
      <c r="CV110" s="365"/>
      <c r="CW110" s="365"/>
      <c r="CX110" s="365"/>
      <c r="CY110" s="365"/>
      <c r="CZ110" s="365"/>
      <c r="DA110" s="365"/>
      <c r="DB110" s="365"/>
      <c r="DC110" s="365"/>
      <c r="DD110" s="365"/>
      <c r="DE110" s="365"/>
      <c r="DF110" s="365"/>
      <c r="DG110" s="365"/>
      <c r="DH110" s="365"/>
      <c r="DI110" s="365"/>
      <c r="DJ110" s="365"/>
      <c r="DK110" s="365"/>
      <c r="DL110" s="365"/>
      <c r="DM110" s="365"/>
      <c r="DN110" s="365"/>
      <c r="DO110" s="365"/>
      <c r="DP110" s="365"/>
      <c r="DQ110" s="365"/>
      <c r="DR110" s="365"/>
      <c r="DS110" s="365"/>
      <c r="DT110" s="365"/>
      <c r="DU110" s="365"/>
      <c r="DV110" s="365"/>
      <c r="DW110" s="365"/>
      <c r="DX110" s="365"/>
      <c r="DY110" s="365"/>
      <c r="DZ110" s="365"/>
      <c r="EA110" s="365"/>
      <c r="EB110" s="365"/>
      <c r="EC110" s="365"/>
      <c r="ED110" s="365"/>
      <c r="EE110" s="365"/>
      <c r="EF110" s="365"/>
      <c r="EG110" s="365"/>
      <c r="EH110" s="365"/>
      <c r="EI110" s="365"/>
      <c r="EJ110" s="365"/>
      <c r="EK110" s="365"/>
      <c r="EL110" s="365"/>
      <c r="EM110" s="365"/>
      <c r="EN110" s="365"/>
      <c r="EO110" s="365"/>
      <c r="EP110" s="365"/>
      <c r="EQ110" s="365"/>
      <c r="ER110" s="365"/>
      <c r="ES110" s="365"/>
      <c r="ET110" s="365"/>
      <c r="EU110" s="365"/>
      <c r="EV110" s="365"/>
      <c r="EW110" s="365"/>
      <c r="EX110" s="365"/>
      <c r="EY110" s="365"/>
      <c r="EZ110" s="365"/>
      <c r="FA110" s="365"/>
      <c r="FB110" s="365"/>
      <c r="FC110" s="365"/>
      <c r="FD110" s="365"/>
      <c r="FE110" s="365"/>
      <c r="FF110" s="365"/>
      <c r="FG110" s="365"/>
      <c r="FH110" s="365"/>
      <c r="FI110" s="365"/>
      <c r="FJ110" s="365"/>
      <c r="FK110" s="365"/>
      <c r="FL110" s="365"/>
      <c r="FM110" s="365"/>
      <c r="FN110" s="365"/>
      <c r="FO110" s="365"/>
      <c r="FP110" s="365"/>
      <c r="FQ110" s="365"/>
      <c r="FR110" s="365"/>
      <c r="FS110" s="365"/>
      <c r="FT110" s="365"/>
      <c r="FU110" s="365"/>
      <c r="FV110" s="365"/>
      <c r="FW110" s="365"/>
      <c r="FX110" s="365"/>
      <c r="FY110" s="365"/>
      <c r="FZ110" s="365"/>
      <c r="GA110" s="365"/>
      <c r="GB110" s="365"/>
      <c r="GC110" s="365"/>
      <c r="GD110" s="365"/>
      <c r="GE110" s="365"/>
      <c r="GF110" s="365"/>
      <c r="GG110" s="365"/>
      <c r="GH110" s="365"/>
      <c r="GI110" s="365"/>
      <c r="GJ110" s="365"/>
      <c r="GK110" s="365"/>
      <c r="GL110" s="365"/>
      <c r="GM110" s="365"/>
      <c r="GN110" s="365"/>
      <c r="GO110" s="365"/>
      <c r="GP110" s="365"/>
      <c r="GQ110" s="365"/>
      <c r="GR110" s="365"/>
      <c r="GS110" s="365"/>
      <c r="GT110" s="365"/>
      <c r="GU110" s="365"/>
      <c r="GV110" s="365"/>
      <c r="GW110" s="365"/>
      <c r="GX110" s="365"/>
      <c r="GY110" s="365"/>
      <c r="GZ110" s="365"/>
      <c r="HA110" s="365"/>
      <c r="HB110" s="365"/>
      <c r="HC110" s="365"/>
      <c r="HD110" s="365"/>
      <c r="HE110" s="365"/>
      <c r="HF110" s="365"/>
      <c r="HG110" s="365"/>
      <c r="HH110" s="365"/>
      <c r="HI110" s="365"/>
      <c r="HJ110" s="365"/>
      <c r="HK110" s="365"/>
      <c r="HL110" s="365"/>
      <c r="HM110" s="365"/>
      <c r="HN110" s="365"/>
      <c r="HO110" s="365"/>
      <c r="HP110" s="365"/>
      <c r="HQ110" s="365"/>
      <c r="HR110" s="365"/>
      <c r="HS110" s="365"/>
      <c r="HT110" s="365"/>
      <c r="HU110" s="365"/>
      <c r="HV110" s="365"/>
      <c r="HW110" s="365"/>
      <c r="HX110" s="365"/>
      <c r="HY110" s="365"/>
    </row>
    <row r="111" spans="2:3" s="365" customFormat="1" ht="13.5" thickBot="1">
      <c r="B111" s="80" t="s">
        <v>258</v>
      </c>
      <c r="C111" s="75">
        <f>'Existing Management Practices'!C106</f>
        <v>0.9</v>
      </c>
    </row>
    <row r="112" spans="6:9" s="365" customFormat="1" ht="14.25" thickBot="1" thickTop="1">
      <c r="F112" s="378"/>
      <c r="G112" s="377"/>
      <c r="H112" s="377"/>
      <c r="I112" s="377"/>
    </row>
    <row r="113" spans="2:5" ht="24" customHeight="1" thickBot="1" thickTop="1">
      <c r="B113" s="36" t="s">
        <v>170</v>
      </c>
      <c r="C113" s="32"/>
      <c r="D113" s="6"/>
      <c r="E113" s="6"/>
    </row>
    <row r="114" spans="2:5" ht="11.25" customHeight="1">
      <c r="B114" s="41"/>
      <c r="C114" s="43"/>
      <c r="D114" s="6"/>
      <c r="E114" s="6"/>
    </row>
    <row r="115" spans="2:5" ht="11.25" customHeight="1">
      <c r="B115" s="78" t="s">
        <v>106</v>
      </c>
      <c r="C115" s="124"/>
      <c r="D115" s="6"/>
      <c r="E115" s="6"/>
    </row>
    <row r="116" spans="2:5" ht="12.75" customHeight="1">
      <c r="B116" s="78" t="s">
        <v>279</v>
      </c>
      <c r="C116" s="124"/>
      <c r="D116" s="7"/>
      <c r="E116" s="6"/>
    </row>
    <row r="117" spans="2:5" ht="12.75" customHeight="1" thickBot="1">
      <c r="B117" s="80" t="s">
        <v>255</v>
      </c>
      <c r="C117" s="75">
        <v>0.4</v>
      </c>
      <c r="D117" s="6"/>
      <c r="E117" s="6"/>
    </row>
    <row r="118" ht="12.75" customHeight="1" thickBot="1" thickTop="1"/>
    <row r="119" spans="1:7" ht="21.75" thickBot="1" thickTop="1">
      <c r="A119" s="25"/>
      <c r="B119" s="646" t="s">
        <v>162</v>
      </c>
      <c r="C119" s="647"/>
      <c r="D119" s="32"/>
      <c r="E119" s="4"/>
      <c r="F119" s="4"/>
      <c r="G119" s="708"/>
    </row>
    <row r="120" spans="1:7" ht="12.75">
      <c r="A120" s="645"/>
      <c r="B120" s="648"/>
      <c r="C120" s="89"/>
      <c r="D120" s="43"/>
      <c r="E120" s="6"/>
      <c r="F120" s="6"/>
      <c r="G120" s="645"/>
    </row>
    <row r="121" spans="1:7" ht="12.75">
      <c r="A121" s="25"/>
      <c r="B121" s="122" t="s">
        <v>357</v>
      </c>
      <c r="C121" s="649">
        <v>0</v>
      </c>
      <c r="D121" s="6"/>
      <c r="E121" s="6"/>
      <c r="F121" s="24"/>
      <c r="G121" s="645"/>
    </row>
    <row r="122" spans="1:7" ht="12.75">
      <c r="A122" s="25"/>
      <c r="B122" s="122"/>
      <c r="C122" s="376"/>
      <c r="D122" s="728" t="s">
        <v>4</v>
      </c>
      <c r="E122" s="728" t="s">
        <v>5</v>
      </c>
      <c r="F122" s="728" t="s">
        <v>6</v>
      </c>
      <c r="G122" s="729" t="s">
        <v>8</v>
      </c>
    </row>
    <row r="123" spans="1:7" ht="13.5" customHeight="1" thickBot="1">
      <c r="A123" s="25"/>
      <c r="B123" s="652" t="s">
        <v>0</v>
      </c>
      <c r="C123" s="705" t="s">
        <v>316</v>
      </c>
      <c r="D123" s="710" t="s">
        <v>318</v>
      </c>
      <c r="E123" s="710" t="s">
        <v>318</v>
      </c>
      <c r="F123" s="710" t="s">
        <v>318</v>
      </c>
      <c r="G123" s="713" t="s">
        <v>319</v>
      </c>
    </row>
    <row r="124" spans="1:7" ht="13.5" thickBot="1">
      <c r="A124" s="25"/>
      <c r="B124" s="706" t="s">
        <v>311</v>
      </c>
      <c r="C124" s="707"/>
      <c r="D124" s="730">
        <f>'Secondary Sources'!C109</f>
        <v>0</v>
      </c>
      <c r="E124" s="731">
        <f>'Secondary Sources'!D109</f>
        <v>0</v>
      </c>
      <c r="F124" s="731">
        <f>'Secondary Sources'!E109</f>
        <v>0</v>
      </c>
      <c r="G124" s="732">
        <f>'Secondary Sources'!F109</f>
        <v>0</v>
      </c>
    </row>
    <row r="125" spans="1:7" ht="13.5" thickBot="1">
      <c r="A125" s="25"/>
      <c r="B125" s="651"/>
      <c r="C125" s="498"/>
      <c r="D125" s="461"/>
      <c r="E125" s="377"/>
      <c r="F125" s="6"/>
      <c r="G125" s="645"/>
    </row>
    <row r="126" spans="1:7" ht="12.75">
      <c r="A126" s="25"/>
      <c r="B126" s="653"/>
      <c r="C126" s="709"/>
      <c r="D126" s="711" t="s">
        <v>4</v>
      </c>
      <c r="E126" s="711" t="s">
        <v>5</v>
      </c>
      <c r="F126" s="711" t="s">
        <v>6</v>
      </c>
      <c r="G126" s="712" t="s">
        <v>8</v>
      </c>
    </row>
    <row r="127" spans="1:7" ht="13.5" thickBot="1">
      <c r="A127" s="25"/>
      <c r="B127" s="727" t="s">
        <v>0</v>
      </c>
      <c r="C127" s="710" t="s">
        <v>317</v>
      </c>
      <c r="D127" s="710" t="s">
        <v>318</v>
      </c>
      <c r="E127" s="710" t="s">
        <v>318</v>
      </c>
      <c r="F127" s="710" t="s">
        <v>318</v>
      </c>
      <c r="G127" s="713" t="s">
        <v>319</v>
      </c>
    </row>
    <row r="128" spans="1:7" ht="12.75">
      <c r="A128" s="25"/>
      <c r="B128" s="653" t="str">
        <f>IF('Primary Sources'!B36&gt;0,'Primary Sources'!B36,"")</f>
        <v>Forest</v>
      </c>
      <c r="C128" s="723"/>
      <c r="D128" s="714">
        <f>'Primary Sources'!J36</f>
        <v>2.5</v>
      </c>
      <c r="E128" s="714">
        <f>'Primary Sources'!K36</f>
        <v>0.2</v>
      </c>
      <c r="F128" s="714">
        <f>'Primary Sources'!L36</f>
        <v>100</v>
      </c>
      <c r="G128" s="715">
        <f>'Primary Sources'!M36</f>
        <v>12</v>
      </c>
    </row>
    <row r="129" spans="1:7" ht="12.75">
      <c r="A129" s="25"/>
      <c r="B129" s="648">
        <f>IF('Primary Sources'!B37&gt;0,'Primary Sources'!B37,"")</f>
      </c>
      <c r="C129" s="724"/>
      <c r="D129" s="716">
        <f>'Primary Sources'!J37</f>
        <v>0</v>
      </c>
      <c r="E129" s="716">
        <f>'Primary Sources'!K37</f>
        <v>0</v>
      </c>
      <c r="F129" s="716">
        <f>'Primary Sources'!L37</f>
        <v>0</v>
      </c>
      <c r="G129" s="717">
        <f>'Primary Sources'!M37</f>
        <v>0</v>
      </c>
    </row>
    <row r="130" spans="1:7" ht="12.75">
      <c r="A130" s="25"/>
      <c r="B130" s="648">
        <f>IF('Primary Sources'!B38&gt;0,'Primary Sources'!B38,"")</f>
      </c>
      <c r="C130" s="724"/>
      <c r="D130" s="716">
        <f>'Primary Sources'!J38</f>
        <v>0</v>
      </c>
      <c r="E130" s="716">
        <f>'Primary Sources'!K38</f>
        <v>0</v>
      </c>
      <c r="F130" s="716">
        <f>'Primary Sources'!L38</f>
        <v>0</v>
      </c>
      <c r="G130" s="717">
        <f>'Primary Sources'!M38</f>
        <v>0</v>
      </c>
    </row>
    <row r="131" spans="1:7" ht="12.75">
      <c r="A131" s="25"/>
      <c r="B131" s="648">
        <f>IF('Primary Sources'!B39&gt;0,'Primary Sources'!B39,"")</f>
      </c>
      <c r="C131" s="724"/>
      <c r="D131" s="716">
        <f>'Primary Sources'!J39</f>
        <v>0</v>
      </c>
      <c r="E131" s="716">
        <f>'Primary Sources'!K39</f>
        <v>0</v>
      </c>
      <c r="F131" s="716">
        <f>'Primary Sources'!L39</f>
        <v>0</v>
      </c>
      <c r="G131" s="717">
        <f>'Primary Sources'!M39</f>
        <v>0</v>
      </c>
    </row>
    <row r="132" spans="1:7" ht="13.5" thickBot="1">
      <c r="A132" s="25"/>
      <c r="B132" s="648">
        <f>IF('Primary Sources'!B40&gt;0,'Primary Sources'!B40,"")</f>
      </c>
      <c r="C132" s="726"/>
      <c r="D132" s="721">
        <f>'Primary Sources'!J40</f>
        <v>0</v>
      </c>
      <c r="E132" s="721">
        <f>'Primary Sources'!K40</f>
        <v>0</v>
      </c>
      <c r="F132" s="721">
        <f>'Primary Sources'!L40</f>
        <v>0</v>
      </c>
      <c r="G132" s="722">
        <f>'Primary Sources'!M40</f>
        <v>0</v>
      </c>
    </row>
    <row r="133" spans="1:7" ht="12.75">
      <c r="A133" s="25"/>
      <c r="B133" s="653" t="str">
        <f>IF('Primary Sources'!B41&gt;0,'Primary Sources'!B41,"")</f>
        <v>Rural</v>
      </c>
      <c r="C133" s="723"/>
      <c r="D133" s="714">
        <f>'Primary Sources'!J41</f>
        <v>4.6</v>
      </c>
      <c r="E133" s="714">
        <f>'Primary Sources'!K41</f>
        <v>0.7</v>
      </c>
      <c r="F133" s="714">
        <f>'Primary Sources'!L41</f>
        <v>100</v>
      </c>
      <c r="G133" s="715">
        <f>'Primary Sources'!M41</f>
        <v>39</v>
      </c>
    </row>
    <row r="134" spans="1:7" ht="12.75">
      <c r="A134" s="25"/>
      <c r="B134" s="648">
        <f>IF('Primary Sources'!B42&gt;0,'Primary Sources'!B42,"")</f>
      </c>
      <c r="C134" s="724"/>
      <c r="D134" s="716">
        <f>'Primary Sources'!J42</f>
        <v>0</v>
      </c>
      <c r="E134" s="716">
        <f>'Primary Sources'!K42</f>
        <v>0</v>
      </c>
      <c r="F134" s="716">
        <f>'Primary Sources'!L42</f>
        <v>0</v>
      </c>
      <c r="G134" s="717">
        <f>'Primary Sources'!M42</f>
        <v>0</v>
      </c>
    </row>
    <row r="135" spans="1:7" ht="12.75">
      <c r="A135" s="25"/>
      <c r="B135" s="648">
        <f>IF('Primary Sources'!B43&gt;0,'Primary Sources'!B43,"")</f>
      </c>
      <c r="C135" s="724"/>
      <c r="D135" s="716">
        <f>'Primary Sources'!J43</f>
        <v>0</v>
      </c>
      <c r="E135" s="716">
        <f>'Primary Sources'!K43</f>
        <v>0</v>
      </c>
      <c r="F135" s="716">
        <f>'Primary Sources'!L43</f>
        <v>0</v>
      </c>
      <c r="G135" s="717">
        <f>'Primary Sources'!M43</f>
        <v>0</v>
      </c>
    </row>
    <row r="136" spans="1:7" ht="12.75">
      <c r="A136" s="25"/>
      <c r="B136" s="648">
        <f>IF('Primary Sources'!B44&gt;0,'Primary Sources'!B44,"")</f>
      </c>
      <c r="C136" s="724"/>
      <c r="D136" s="716">
        <f>'Primary Sources'!J44</f>
        <v>0</v>
      </c>
      <c r="E136" s="716">
        <f>'Primary Sources'!K44</f>
        <v>0</v>
      </c>
      <c r="F136" s="716">
        <f>'Primary Sources'!L44</f>
        <v>0</v>
      </c>
      <c r="G136" s="717">
        <f>'Primary Sources'!M44</f>
        <v>0</v>
      </c>
    </row>
    <row r="137" spans="1:7" ht="12.75">
      <c r="A137" s="25"/>
      <c r="B137" s="648">
        <f>IF('Primary Sources'!B45&gt;0,'Primary Sources'!B45,"")</f>
      </c>
      <c r="C137" s="724"/>
      <c r="D137" s="716">
        <f>'Primary Sources'!J45</f>
        <v>0</v>
      </c>
      <c r="E137" s="716">
        <f>'Primary Sources'!K45</f>
        <v>0</v>
      </c>
      <c r="F137" s="716">
        <f>'Primary Sources'!L45</f>
        <v>0</v>
      </c>
      <c r="G137" s="717">
        <f>'Primary Sources'!M45</f>
        <v>0</v>
      </c>
    </row>
    <row r="138" spans="1:7" ht="12.75">
      <c r="A138" s="25"/>
      <c r="B138" s="648">
        <f>IF('Primary Sources'!B46&gt;0,'Primary Sources'!B46,"")</f>
      </c>
      <c r="C138" s="724"/>
      <c r="D138" s="716">
        <f>'Primary Sources'!J46</f>
        <v>0</v>
      </c>
      <c r="E138" s="716">
        <f>'Primary Sources'!K46</f>
        <v>0</v>
      </c>
      <c r="F138" s="716">
        <f>'Primary Sources'!L46</f>
        <v>0</v>
      </c>
      <c r="G138" s="717">
        <f>'Primary Sources'!M46</f>
        <v>0</v>
      </c>
    </row>
    <row r="139" spans="1:7" ht="12.75">
      <c r="A139" s="25"/>
      <c r="B139" s="648">
        <f>IF('Primary Sources'!B47&gt;0,'Primary Sources'!B47,"")</f>
      </c>
      <c r="C139" s="724"/>
      <c r="D139" s="716">
        <f>'Primary Sources'!J47</f>
        <v>0</v>
      </c>
      <c r="E139" s="716">
        <f>'Primary Sources'!K47</f>
        <v>0</v>
      </c>
      <c r="F139" s="716">
        <f>'Primary Sources'!L47</f>
        <v>0</v>
      </c>
      <c r="G139" s="717">
        <f>'Primary Sources'!M47</f>
        <v>0</v>
      </c>
    </row>
    <row r="140" spans="1:7" ht="12.75">
      <c r="A140" s="25"/>
      <c r="B140" s="648">
        <f>IF('Primary Sources'!B48&gt;0,'Primary Sources'!B48,"")</f>
      </c>
      <c r="C140" s="724"/>
      <c r="D140" s="716">
        <f>'Primary Sources'!J48</f>
        <v>0</v>
      </c>
      <c r="E140" s="716">
        <f>'Primary Sources'!K48</f>
        <v>0</v>
      </c>
      <c r="F140" s="716">
        <f>'Primary Sources'!L48</f>
        <v>0</v>
      </c>
      <c r="G140" s="717">
        <f>'Primary Sources'!M48</f>
        <v>0</v>
      </c>
    </row>
    <row r="141" spans="2:7" ht="12.75">
      <c r="B141" s="733">
        <f>IF('Primary Sources'!B49&gt;0,'Primary Sources'!B49,"")</f>
      </c>
      <c r="C141" s="724"/>
      <c r="D141" s="716">
        <f>'Primary Sources'!J49</f>
        <v>0</v>
      </c>
      <c r="E141" s="716">
        <f>'Primary Sources'!K49</f>
        <v>0</v>
      </c>
      <c r="F141" s="716">
        <f>'Primary Sources'!L49</f>
        <v>0</v>
      </c>
      <c r="G141" s="717">
        <f>'Primary Sources'!M49</f>
        <v>0</v>
      </c>
    </row>
    <row r="142" spans="2:7" ht="13.5" thickBot="1">
      <c r="B142" s="650">
        <f>IF('Primary Sources'!B50&gt;0,'Primary Sources'!B50,"")</f>
      </c>
      <c r="C142" s="725"/>
      <c r="D142" s="718">
        <f>'Primary Sources'!J50</f>
        <v>0</v>
      </c>
      <c r="E142" s="718">
        <f>'Primary Sources'!K50</f>
        <v>0</v>
      </c>
      <c r="F142" s="719">
        <f>'Primary Sources'!L50</f>
        <v>0</v>
      </c>
      <c r="G142" s="720">
        <f>'Primary Sources'!M50</f>
        <v>0</v>
      </c>
    </row>
    <row r="143" ht="14.25" thickBot="1" thickTop="1">
      <c r="F143" s="6"/>
    </row>
    <row r="144" spans="2:6" ht="21.75" thickBot="1" thickTop="1">
      <c r="B144" s="36" t="s">
        <v>163</v>
      </c>
      <c r="C144" s="32"/>
      <c r="D144" s="6"/>
      <c r="E144" s="6"/>
      <c r="F144" s="6"/>
    </row>
    <row r="145" spans="2:6" ht="12.75">
      <c r="B145" s="41"/>
      <c r="C145" s="43"/>
      <c r="D145" s="6"/>
      <c r="E145" s="6"/>
      <c r="F145" s="6"/>
    </row>
    <row r="146" spans="2:6" ht="12.75">
      <c r="B146" s="78" t="s">
        <v>171</v>
      </c>
      <c r="C146" s="124"/>
      <c r="D146" s="6"/>
      <c r="E146" s="6"/>
      <c r="F146" s="6"/>
    </row>
    <row r="147" spans="2:6" ht="12.75">
      <c r="B147" s="78" t="s">
        <v>172</v>
      </c>
      <c r="C147" s="129"/>
      <c r="E147" s="6"/>
      <c r="F147" s="6"/>
    </row>
    <row r="148" spans="2:6" ht="12.75">
      <c r="B148" s="78" t="s">
        <v>357</v>
      </c>
      <c r="C148" s="129"/>
      <c r="D148" s="6"/>
      <c r="E148" s="6"/>
      <c r="F148" s="6"/>
    </row>
    <row r="149" spans="2:6" ht="13.5" thickBot="1">
      <c r="B149" s="80"/>
      <c r="C149" s="502"/>
      <c r="D149" s="6"/>
      <c r="E149" s="6"/>
      <c r="F149" s="6"/>
    </row>
    <row r="150" ht="14.25" thickBot="1" thickTop="1">
      <c r="F150" s="6"/>
    </row>
    <row r="151" spans="2:7" ht="21.75" thickBot="1" thickTop="1">
      <c r="B151" s="36" t="s">
        <v>167</v>
      </c>
      <c r="C151" s="37"/>
      <c r="D151" s="37"/>
      <c r="E151" s="37"/>
      <c r="F151" s="37"/>
      <c r="G151" s="32"/>
    </row>
    <row r="152" spans="2:7" ht="12.75">
      <c r="B152" s="41"/>
      <c r="C152" s="87"/>
      <c r="D152" s="19"/>
      <c r="E152" s="11"/>
      <c r="F152" s="11"/>
      <c r="G152" s="12"/>
    </row>
    <row r="153" spans="2:7" ht="12.75">
      <c r="B153" s="78" t="s">
        <v>182</v>
      </c>
      <c r="C153" s="88"/>
      <c r="D153" s="15"/>
      <c r="E153" s="6"/>
      <c r="F153" s="6"/>
      <c r="G153" s="9"/>
    </row>
    <row r="154" spans="2:7" ht="12.75">
      <c r="B154" s="78" t="s">
        <v>191</v>
      </c>
      <c r="C154" s="130"/>
      <c r="D154" s="15"/>
      <c r="E154" s="6"/>
      <c r="F154" s="6"/>
      <c r="G154" s="9"/>
    </row>
    <row r="155" spans="2:7" ht="12.75">
      <c r="B155" s="78" t="s">
        <v>190</v>
      </c>
      <c r="C155" s="503"/>
      <c r="D155" s="15"/>
      <c r="E155" s="6"/>
      <c r="F155" s="6"/>
      <c r="G155" s="9"/>
    </row>
    <row r="156" spans="2:7" ht="12.75">
      <c r="B156" s="78" t="s">
        <v>242</v>
      </c>
      <c r="C156" s="305"/>
      <c r="D156" s="15"/>
      <c r="E156" s="6"/>
      <c r="F156" s="6"/>
      <c r="G156" s="9"/>
    </row>
    <row r="157" spans="2:7" ht="12.75">
      <c r="B157" s="78" t="s">
        <v>243</v>
      </c>
      <c r="C157" s="304">
        <f>IF(C154&gt;0.6,3,IF(C154&lt;0.3,30,57-90*C154))</f>
        <v>30</v>
      </c>
      <c r="D157" s="15"/>
      <c r="E157" s="6"/>
      <c r="F157" s="6"/>
      <c r="G157" s="9"/>
    </row>
    <row r="158" spans="2:7" ht="13.5" thickBot="1">
      <c r="B158" s="131"/>
      <c r="C158" s="132"/>
      <c r="D158" s="15"/>
      <c r="E158" s="6"/>
      <c r="F158" s="6"/>
      <c r="G158" s="9"/>
    </row>
    <row r="159" spans="2:7" ht="12.75">
      <c r="B159" s="41"/>
      <c r="C159" s="87" t="s">
        <v>181</v>
      </c>
      <c r="D159" s="89"/>
      <c r="E159" s="42" t="s">
        <v>129</v>
      </c>
      <c r="F159" s="42"/>
      <c r="G159" s="43"/>
    </row>
    <row r="160" spans="2:7" ht="12.75">
      <c r="B160" s="78" t="s">
        <v>128</v>
      </c>
      <c r="C160" s="79"/>
      <c r="D160" s="73" t="s">
        <v>4</v>
      </c>
      <c r="E160" s="85" t="s">
        <v>5</v>
      </c>
      <c r="F160" s="85" t="s">
        <v>6</v>
      </c>
      <c r="G160" s="97" t="s">
        <v>130</v>
      </c>
    </row>
    <row r="161" spans="2:7" ht="12.75">
      <c r="B161" s="91" t="s">
        <v>131</v>
      </c>
      <c r="C161" s="133"/>
      <c r="D161" s="136">
        <f>'Existing Management Practices'!D68</f>
        <v>0.05</v>
      </c>
      <c r="E161" s="99">
        <f>'Existing Management Practices'!E68</f>
        <v>0.19</v>
      </c>
      <c r="F161" s="99">
        <f>'Existing Management Practices'!F68</f>
        <v>0.03</v>
      </c>
      <c r="G161" s="99">
        <f>'Existing Management Practices'!G68</f>
        <v>0.1</v>
      </c>
    </row>
    <row r="162" spans="2:7" ht="12.75">
      <c r="B162" s="91" t="s">
        <v>132</v>
      </c>
      <c r="C162" s="133"/>
      <c r="D162" s="136">
        <f>'Existing Management Practices'!D69</f>
        <v>0.25</v>
      </c>
      <c r="E162" s="99">
        <f>'Existing Management Practices'!E69</f>
        <v>0.19</v>
      </c>
      <c r="F162" s="99">
        <f>'Existing Management Practices'!F69</f>
        <v>0.47</v>
      </c>
      <c r="G162" s="99">
        <f>'Existing Management Practices'!G69</f>
        <v>0.6</v>
      </c>
    </row>
    <row r="163" spans="2:7" ht="12.75">
      <c r="B163" s="91" t="s">
        <v>133</v>
      </c>
      <c r="C163" s="133"/>
      <c r="D163" s="136">
        <f>'Existing Management Practices'!D70</f>
        <v>0.33</v>
      </c>
      <c r="E163" s="99">
        <f>'Existing Management Practices'!E70</f>
        <v>0.51</v>
      </c>
      <c r="F163" s="99">
        <f>'Existing Management Practices'!F70</f>
        <v>0.8</v>
      </c>
      <c r="G163" s="99">
        <f>'Existing Management Practices'!G70</f>
        <v>0.7</v>
      </c>
    </row>
    <row r="164" spans="2:7" ht="12.75">
      <c r="B164" s="91" t="s">
        <v>134</v>
      </c>
      <c r="C164" s="133"/>
      <c r="D164" s="136">
        <f>'Existing Management Practices'!D71</f>
        <v>0.3</v>
      </c>
      <c r="E164" s="99">
        <f>'Existing Management Practices'!E71</f>
        <v>0.49</v>
      </c>
      <c r="F164" s="99">
        <f>'Existing Management Practices'!F71</f>
        <v>0.76</v>
      </c>
      <c r="G164" s="99">
        <f>'Existing Management Practices'!G71</f>
        <v>0.78</v>
      </c>
    </row>
    <row r="165" spans="2:7" ht="12.75">
      <c r="B165" s="91" t="s">
        <v>135</v>
      </c>
      <c r="C165" s="133"/>
      <c r="D165" s="136">
        <f>'Existing Management Practices'!D72</f>
        <v>0.38</v>
      </c>
      <c r="E165" s="99">
        <f>'Existing Management Practices'!E72</f>
        <v>0.34</v>
      </c>
      <c r="F165" s="99">
        <f>'Existing Management Practices'!F72</f>
        <v>0.81</v>
      </c>
      <c r="G165" s="99">
        <f>'Existing Management Practices'!G72</f>
        <v>0</v>
      </c>
    </row>
    <row r="166" spans="2:7" ht="12.75">
      <c r="B166" s="91" t="s">
        <v>136</v>
      </c>
      <c r="C166" s="133"/>
      <c r="D166" s="136">
        <f>'Existing Management Practices'!D73</f>
        <v>0.38</v>
      </c>
      <c r="E166" s="99">
        <f>'Existing Management Practices'!E73</f>
        <v>0.59</v>
      </c>
      <c r="F166" s="99">
        <f>'Existing Management Practices'!F73</f>
        <v>0.86</v>
      </c>
      <c r="G166" s="99">
        <f>'Existing Management Practices'!G73</f>
        <v>0.37</v>
      </c>
    </row>
    <row r="167" spans="2:7" ht="12.75">
      <c r="B167" s="91" t="s">
        <v>137</v>
      </c>
      <c r="C167" s="134">
        <f>1-SUM(C161:C166)</f>
        <v>1</v>
      </c>
      <c r="D167" s="136">
        <f>'Existing Management Practices'!D74</f>
        <v>0.51</v>
      </c>
      <c r="E167" s="99">
        <f>'Existing Management Practices'!E74</f>
        <v>0.7</v>
      </c>
      <c r="F167" s="99">
        <f>'Existing Management Practices'!F74</f>
        <v>0.9</v>
      </c>
      <c r="G167" s="99">
        <f>'Existing Management Practices'!G74</f>
        <v>0.9</v>
      </c>
    </row>
    <row r="168" spans="2:7" ht="13.5" thickBot="1">
      <c r="B168" s="80" t="s">
        <v>138</v>
      </c>
      <c r="C168" s="135"/>
      <c r="D168" s="116">
        <f>IF($C153&gt;0,SUMPRODUCT($C161:$C167,D161:D167),0)</f>
        <v>0</v>
      </c>
      <c r="E168" s="98">
        <f>IF($C153&gt;0,SUMPRODUCT($C161:$C167,E161:E167),0)</f>
        <v>0</v>
      </c>
      <c r="F168" s="98">
        <f>IF($C153&gt;0,SUMPRODUCT($C161:$C167,F161:F167),0)</f>
        <v>0</v>
      </c>
      <c r="G168" s="117">
        <f>IF($C153&gt;0,SUMPRODUCT($C161:$C167,G161:G167),0)</f>
        <v>0</v>
      </c>
    </row>
    <row r="169" spans="1:7" ht="14.25" thickBot="1" thickTop="1">
      <c r="A169" s="378"/>
      <c r="B169" s="333"/>
      <c r="C169" s="334"/>
      <c r="D169" s="341"/>
      <c r="E169" s="341"/>
      <c r="F169" s="335"/>
      <c r="G169" s="336"/>
    </row>
    <row r="170" spans="1:7" ht="12.75">
      <c r="A170" s="378"/>
      <c r="B170" s="348" t="s">
        <v>254</v>
      </c>
      <c r="C170" s="241" t="s">
        <v>251</v>
      </c>
      <c r="D170" s="241" t="s">
        <v>252</v>
      </c>
      <c r="E170" s="343" t="s">
        <v>253</v>
      </c>
      <c r="F170" s="337"/>
      <c r="G170" s="338"/>
    </row>
    <row r="171" spans="1:7" ht="13.5" thickBot="1">
      <c r="A171" s="378"/>
      <c r="B171" s="349" t="e">
        <f>MIN(C153*C154*C155,'Future Management Practices'!C156*'Future Management Practices'!C157*'Primary Sources'!C65)/SUMPRODUCT('Primary Sources'!D11:D35,'Primary Sources'!E11:E35)*100</f>
        <v>#DIV/0!</v>
      </c>
      <c r="C171" s="344"/>
      <c r="D171" s="344"/>
      <c r="E171" s="345"/>
      <c r="F171" s="337"/>
      <c r="G171" s="338"/>
    </row>
    <row r="172" spans="1:7" ht="13.5" thickBot="1">
      <c r="A172" s="378"/>
      <c r="B172" s="350"/>
      <c r="C172" s="256"/>
      <c r="D172" s="256" t="s">
        <v>273</v>
      </c>
      <c r="E172" s="351"/>
      <c r="F172" s="352"/>
      <c r="G172" s="353"/>
    </row>
    <row r="173" spans="2:7" ht="14.25" thickBot="1" thickTop="1">
      <c r="B173" s="6"/>
      <c r="C173" s="6"/>
      <c r="D173" s="6"/>
      <c r="E173" s="6"/>
      <c r="F173" s="6"/>
      <c r="G173" s="6"/>
    </row>
    <row r="174" spans="2:3" ht="21.75" thickBot="1" thickTop="1">
      <c r="B174" s="36" t="s">
        <v>173</v>
      </c>
      <c r="C174" s="38"/>
    </row>
    <row r="175" spans="2:10" ht="12.75">
      <c r="B175" s="102"/>
      <c r="C175" s="123"/>
      <c r="H175" s="6"/>
      <c r="I175" s="6"/>
      <c r="J175" s="6"/>
    </row>
    <row r="176" spans="2:3" ht="12.75">
      <c r="B176" s="122" t="s">
        <v>390</v>
      </c>
      <c r="C176" s="931"/>
    </row>
    <row r="177" spans="2:3" ht="12.75">
      <c r="B177" s="122" t="s">
        <v>177</v>
      </c>
      <c r="C177" s="398">
        <f>'Primary Sources'!C64*C176</f>
        <v>0</v>
      </c>
    </row>
    <row r="178" spans="2:3" ht="12.75">
      <c r="B178" s="122" t="s">
        <v>174</v>
      </c>
      <c r="C178" s="397"/>
    </row>
    <row r="179" spans="2:3" ht="13.5" thickBot="1">
      <c r="B179" s="115" t="s">
        <v>391</v>
      </c>
      <c r="C179" s="932"/>
    </row>
    <row r="180" ht="14.25" thickBot="1" thickTop="1"/>
    <row r="181" spans="2:5" ht="21.75" thickBot="1" thickTop="1">
      <c r="B181" s="36" t="s">
        <v>164</v>
      </c>
      <c r="C181" s="38"/>
      <c r="E181" s="6"/>
    </row>
    <row r="182" spans="2:4" ht="12.75">
      <c r="B182" s="41"/>
      <c r="C182" s="43"/>
      <c r="D182" s="6"/>
    </row>
    <row r="183" spans="2:3" ht="12.75">
      <c r="B183" s="78" t="s">
        <v>192</v>
      </c>
      <c r="C183" s="129"/>
    </row>
    <row r="184" spans="2:3" ht="13.5" thickBot="1">
      <c r="B184" s="80" t="s">
        <v>358</v>
      </c>
      <c r="C184" s="930"/>
    </row>
    <row r="185" spans="2:7" ht="14.25" thickBot="1" thickTop="1">
      <c r="B185" s="6"/>
      <c r="D185" s="6"/>
      <c r="E185" s="6"/>
      <c r="G185" s="6"/>
    </row>
    <row r="186" spans="2:5" ht="21.75" thickBot="1" thickTop="1">
      <c r="B186" s="36" t="s">
        <v>165</v>
      </c>
      <c r="C186" s="38"/>
      <c r="D186" s="6"/>
      <c r="E186" s="6"/>
    </row>
    <row r="187" spans="2:3" ht="12.75">
      <c r="B187" s="41"/>
      <c r="C187" s="43"/>
    </row>
    <row r="188" spans="2:3" ht="12.75">
      <c r="B188" s="78" t="s">
        <v>187</v>
      </c>
      <c r="C188" s="126"/>
    </row>
    <row r="189" spans="2:3" ht="13.5" thickBot="1">
      <c r="B189" s="80" t="s">
        <v>359</v>
      </c>
      <c r="C189" s="933"/>
    </row>
    <row r="190" spans="2:7" ht="14.25" thickBot="1" thickTop="1">
      <c r="B190" s="6"/>
      <c r="D190" s="6"/>
      <c r="E190" s="6"/>
      <c r="G190" s="6"/>
    </row>
    <row r="191" spans="2:7" ht="21.75" thickBot="1" thickTop="1">
      <c r="B191" s="36" t="s">
        <v>166</v>
      </c>
      <c r="C191" s="38"/>
      <c r="D191" s="6"/>
      <c r="E191" s="6"/>
      <c r="G191" s="220"/>
    </row>
    <row r="192" spans="2:7" ht="12.75">
      <c r="B192" s="41"/>
      <c r="C192" s="43"/>
      <c r="G192" s="220"/>
    </row>
    <row r="193" spans="1:8" ht="12.75">
      <c r="A193" s="371"/>
      <c r="B193" s="78" t="s">
        <v>264</v>
      </c>
      <c r="C193" s="374"/>
      <c r="G193" s="431"/>
      <c r="H193" s="100"/>
    </row>
    <row r="194" spans="1:8" ht="13.5" thickBot="1">
      <c r="A194" s="371"/>
      <c r="B194" s="80" t="s">
        <v>359</v>
      </c>
      <c r="C194" s="933"/>
      <c r="G194" s="431"/>
      <c r="H194" s="100"/>
    </row>
    <row r="195" spans="2:8" ht="14.25" thickBot="1" thickTop="1">
      <c r="B195" s="6"/>
      <c r="D195" s="6"/>
      <c r="E195" s="30"/>
      <c r="G195" s="470"/>
      <c r="H195" s="100"/>
    </row>
    <row r="196" spans="1:8" ht="21.75" thickBot="1" thickTop="1">
      <c r="A196" s="371"/>
      <c r="B196" s="36" t="s">
        <v>168</v>
      </c>
      <c r="C196" s="38"/>
      <c r="D196" s="6"/>
      <c r="E196" s="6"/>
      <c r="G196" s="470"/>
      <c r="H196" s="100"/>
    </row>
    <row r="197" spans="2:8" ht="12.75">
      <c r="B197" s="41"/>
      <c r="C197" s="43"/>
      <c r="G197" s="470"/>
      <c r="H197" s="30"/>
    </row>
    <row r="198" spans="2:7" ht="12.75">
      <c r="B198" s="78" t="s">
        <v>183</v>
      </c>
      <c r="C198" s="124"/>
      <c r="G198" s="470"/>
    </row>
    <row r="199" spans="2:7" ht="12.75">
      <c r="B199" s="144" t="s">
        <v>261</v>
      </c>
      <c r="C199" s="934"/>
      <c r="G199" s="470"/>
    </row>
    <row r="200" spans="2:7" ht="12.75">
      <c r="B200" s="144" t="s">
        <v>262</v>
      </c>
      <c r="C200" s="934"/>
      <c r="G200" s="470"/>
    </row>
    <row r="201" spans="2:7" ht="13.5" thickBot="1">
      <c r="B201" s="80"/>
      <c r="C201" s="125"/>
      <c r="G201" s="470"/>
    </row>
    <row r="202" spans="2:7" ht="14.25" thickBot="1" thickTop="1">
      <c r="B202" s="6"/>
      <c r="D202" s="6"/>
      <c r="E202" s="6"/>
      <c r="G202" s="470"/>
    </row>
    <row r="203" spans="2:7" ht="21.75" thickBot="1" thickTop="1">
      <c r="B203" s="36" t="s">
        <v>169</v>
      </c>
      <c r="C203" s="39"/>
      <c r="D203" s="16"/>
      <c r="E203" s="4"/>
      <c r="F203" s="32"/>
      <c r="G203" s="6"/>
    </row>
    <row r="204" spans="2:6" ht="12.75">
      <c r="B204" s="41"/>
      <c r="C204" s="42"/>
      <c r="D204" s="139"/>
      <c r="E204" s="139"/>
      <c r="F204" s="140"/>
    </row>
    <row r="205" spans="2:6" ht="12.75">
      <c r="B205" s="78" t="s">
        <v>183</v>
      </c>
      <c r="C205" s="83"/>
      <c r="D205" s="49"/>
      <c r="E205" s="49"/>
      <c r="F205" s="50"/>
    </row>
    <row r="206" spans="2:3" ht="12.75">
      <c r="B206" s="144" t="s">
        <v>261</v>
      </c>
      <c r="C206" s="934"/>
    </row>
    <row r="207" spans="2:3" ht="12.75">
      <c r="B207" s="144" t="s">
        <v>263</v>
      </c>
      <c r="C207" s="934"/>
    </row>
    <row r="208" spans="2:6" ht="13.5" thickBot="1">
      <c r="B208" s="144"/>
      <c r="C208" s="145"/>
      <c r="D208" s="107"/>
      <c r="E208" s="107"/>
      <c r="F208" s="146"/>
    </row>
    <row r="209" spans="2:8" ht="13.5" thickBot="1">
      <c r="B209" s="104"/>
      <c r="C209" s="105" t="s">
        <v>184</v>
      </c>
      <c r="D209" s="105" t="s">
        <v>185</v>
      </c>
      <c r="E209" s="105" t="s">
        <v>6</v>
      </c>
      <c r="F209" s="106" t="s">
        <v>130</v>
      </c>
      <c r="H209" s="30"/>
    </row>
    <row r="210" spans="2:6" ht="12.75">
      <c r="B210" s="76" t="s">
        <v>186</v>
      </c>
      <c r="C210" s="147"/>
      <c r="D210" s="148"/>
      <c r="E210" s="148"/>
      <c r="F210" s="149"/>
    </row>
    <row r="211" spans="2:6" ht="12.75">
      <c r="B211" s="78" t="s">
        <v>188</v>
      </c>
      <c r="C211" s="141">
        <f>1-'Secondary Sources'!$E19/'Secondary Sources'!$E6</f>
        <v>0.6666666666666667</v>
      </c>
      <c r="D211" s="141">
        <f>1-'Secondary Sources'!$E20/'Secondary Sources'!$E7</f>
        <v>1</v>
      </c>
      <c r="E211" s="141">
        <f>1-'Secondary Sources'!$E21/'Secondary Sources'!$E8</f>
        <v>1</v>
      </c>
      <c r="F211" s="142">
        <f>1-'Secondary Sources'!$E22/'Secondary Sources'!$E9</f>
        <v>1</v>
      </c>
    </row>
    <row r="212" spans="2:6" ht="12.75">
      <c r="B212" s="78" t="s">
        <v>189</v>
      </c>
      <c r="C212" s="141">
        <f>C211*(1-'Secondary Sources'!$E17)+(1-'Secondary Sources'!$G19/'Secondary Sources'!$E6)*'Secondary Sources'!$E17</f>
        <v>0.6016666666666667</v>
      </c>
      <c r="D212" s="143">
        <f>D211*(1-'Secondary Sources'!$E17)+(1-'Secondary Sources'!$G20/'Secondary Sources'!$E7)*'Secondary Sources'!$E17</f>
        <v>0.97</v>
      </c>
      <c r="E212" s="143">
        <f>E211*(1-'Secondary Sources'!$E17)+(1-'Secondary Sources'!$G21/'Secondary Sources'!$E8)*'Secondary Sources'!$E17</f>
        <v>0.97</v>
      </c>
      <c r="F212" s="142">
        <f>F211*(1-'Secondary Sources'!$E17)+(1-'Secondary Sources'!$G22/'Secondary Sources'!$E9)*'Secondary Sources'!$E17</f>
        <v>1</v>
      </c>
    </row>
    <row r="213" spans="2:6" ht="13.5" thickBot="1">
      <c r="B213" s="80"/>
      <c r="C213" s="67"/>
      <c r="D213" s="51"/>
      <c r="E213" s="51"/>
      <c r="F213" s="52"/>
    </row>
    <row r="214" spans="2:8" ht="14.25" thickBot="1" thickTop="1">
      <c r="B214" s="6"/>
      <c r="C214" s="6"/>
      <c r="D214" s="31"/>
      <c r="E214" s="31"/>
      <c r="F214" s="30"/>
      <c r="H214" s="30"/>
    </row>
    <row r="215" spans="2:7" s="220" customFormat="1" ht="21.75" thickBot="1" thickTop="1">
      <c r="B215" s="450" t="s">
        <v>323</v>
      </c>
      <c r="C215" s="457"/>
      <c r="D215" s="449"/>
      <c r="E215" s="458"/>
      <c r="F215" s="451"/>
      <c r="G215" s="6"/>
    </row>
    <row r="216" spans="1:59" s="1" customFormat="1" ht="13.5" thickBot="1">
      <c r="A216" s="220"/>
      <c r="B216" s="10"/>
      <c r="C216" s="292" t="s">
        <v>324</v>
      </c>
      <c r="D216" s="150" t="s">
        <v>325</v>
      </c>
      <c r="E216" s="216" t="s">
        <v>326</v>
      </c>
      <c r="F216" s="460" t="s">
        <v>327</v>
      </c>
      <c r="G216" s="25"/>
      <c r="H216" s="220"/>
      <c r="I216" s="220"/>
      <c r="J216" s="220"/>
      <c r="K216" s="220"/>
      <c r="L216" s="220"/>
      <c r="M216" s="220"/>
      <c r="N216" s="220"/>
      <c r="O216" s="220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0"/>
      <c r="AW216" s="220"/>
      <c r="AX216" s="220"/>
      <c r="AY216" s="220"/>
      <c r="AZ216" s="220"/>
      <c r="BA216" s="220"/>
      <c r="BB216" s="220"/>
      <c r="BC216" s="220"/>
      <c r="BD216" s="220"/>
      <c r="BE216" s="220"/>
      <c r="BF216" s="220"/>
      <c r="BG216" s="220"/>
    </row>
    <row r="217" spans="1:59" s="1" customFormat="1" ht="12.75">
      <c r="A217" s="220"/>
      <c r="B217" s="86" t="s">
        <v>71</v>
      </c>
      <c r="C217" s="741"/>
      <c r="D217" s="742"/>
      <c r="E217" s="741"/>
      <c r="F217" s="743"/>
      <c r="G217" s="25"/>
      <c r="H217" s="220"/>
      <c r="I217" s="220"/>
      <c r="J217" s="220"/>
      <c r="K217" s="220"/>
      <c r="L217" s="220"/>
      <c r="M217" s="220"/>
      <c r="N217" s="220"/>
      <c r="O217" s="220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</row>
    <row r="218" spans="1:59" s="1" customFormat="1" ht="12.75">
      <c r="A218" s="220"/>
      <c r="B218" s="295" t="s">
        <v>72</v>
      </c>
      <c r="C218" s="744"/>
      <c r="D218" s="92"/>
      <c r="E218" s="744"/>
      <c r="F218" s="126"/>
      <c r="G218" s="25"/>
      <c r="H218" s="220"/>
      <c r="I218" s="220"/>
      <c r="J218" s="220"/>
      <c r="K218" s="220"/>
      <c r="L218" s="220"/>
      <c r="M218" s="220"/>
      <c r="N218" s="220"/>
      <c r="O218" s="220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</row>
    <row r="219" spans="1:59" ht="12.75">
      <c r="A219" s="365"/>
      <c r="B219" s="295" t="s">
        <v>73</v>
      </c>
      <c r="C219" s="744"/>
      <c r="D219" s="92"/>
      <c r="E219" s="744"/>
      <c r="F219" s="126"/>
      <c r="H219" s="365"/>
      <c r="I219" s="365"/>
      <c r="J219" s="365"/>
      <c r="K219" s="365"/>
      <c r="L219" s="365"/>
      <c r="M219" s="365"/>
      <c r="N219" s="365"/>
      <c r="O219" s="365"/>
      <c r="P219" s="365"/>
      <c r="Q219" s="365"/>
      <c r="R219" s="365"/>
      <c r="S219" s="365"/>
      <c r="T219" s="365"/>
      <c r="U219" s="365"/>
      <c r="V219" s="365"/>
      <c r="W219" s="365"/>
      <c r="X219" s="365"/>
      <c r="Y219" s="365"/>
      <c r="Z219" s="365"/>
      <c r="AA219" s="365"/>
      <c r="AB219" s="365"/>
      <c r="AC219" s="365"/>
      <c r="AD219" s="365"/>
      <c r="AE219" s="365"/>
      <c r="AF219" s="365"/>
      <c r="AG219" s="365"/>
      <c r="AH219" s="365"/>
      <c r="AI219" s="365"/>
      <c r="AJ219" s="365"/>
      <c r="AK219" s="365"/>
      <c r="AL219" s="365"/>
      <c r="AM219" s="365"/>
      <c r="AN219" s="365"/>
      <c r="AO219" s="365"/>
      <c r="AP219" s="365"/>
      <c r="AQ219" s="365"/>
      <c r="AR219" s="365"/>
      <c r="AS219" s="365"/>
      <c r="AT219" s="365"/>
      <c r="AU219" s="365"/>
      <c r="AV219" s="365"/>
      <c r="AW219" s="365"/>
      <c r="AX219" s="365"/>
      <c r="AY219" s="365"/>
      <c r="AZ219" s="365"/>
      <c r="BA219" s="365"/>
      <c r="BB219" s="365"/>
      <c r="BC219" s="365"/>
      <c r="BD219" s="365"/>
      <c r="BE219" s="365"/>
      <c r="BF219" s="365"/>
      <c r="BG219" s="365"/>
    </row>
    <row r="220" spans="1:59" ht="12.75">
      <c r="A220" s="365"/>
      <c r="B220" s="295" t="s">
        <v>74</v>
      </c>
      <c r="C220" s="744"/>
      <c r="D220" s="92"/>
      <c r="E220" s="744"/>
      <c r="F220" s="126"/>
      <c r="H220" s="365"/>
      <c r="I220" s="365"/>
      <c r="J220" s="365"/>
      <c r="K220" s="365"/>
      <c r="L220" s="365"/>
      <c r="M220" s="365"/>
      <c r="N220" s="365"/>
      <c r="O220" s="365"/>
      <c r="P220" s="365"/>
      <c r="Q220" s="365"/>
      <c r="R220" s="365"/>
      <c r="S220" s="365"/>
      <c r="T220" s="365"/>
      <c r="U220" s="365"/>
      <c r="V220" s="365"/>
      <c r="W220" s="365"/>
      <c r="X220" s="365"/>
      <c r="Y220" s="365"/>
      <c r="Z220" s="365"/>
      <c r="AA220" s="365"/>
      <c r="AB220" s="365"/>
      <c r="AC220" s="365"/>
      <c r="AD220" s="365"/>
      <c r="AE220" s="365"/>
      <c r="AF220" s="365"/>
      <c r="AG220" s="365"/>
      <c r="AH220" s="365"/>
      <c r="AI220" s="365"/>
      <c r="AJ220" s="365"/>
      <c r="AK220" s="365"/>
      <c r="AL220" s="365"/>
      <c r="AM220" s="365"/>
      <c r="AN220" s="365"/>
      <c r="AO220" s="365"/>
      <c r="AP220" s="365"/>
      <c r="AQ220" s="365"/>
      <c r="AR220" s="365"/>
      <c r="AS220" s="365"/>
      <c r="AT220" s="365"/>
      <c r="AU220" s="365"/>
      <c r="AV220" s="365"/>
      <c r="AW220" s="365"/>
      <c r="AX220" s="365"/>
      <c r="AY220" s="365"/>
      <c r="AZ220" s="365"/>
      <c r="BA220" s="365"/>
      <c r="BB220" s="365"/>
      <c r="BC220" s="365"/>
      <c r="BD220" s="365"/>
      <c r="BE220" s="365"/>
      <c r="BF220" s="365"/>
      <c r="BG220" s="365"/>
    </row>
    <row r="221" spans="1:59" ht="12.75">
      <c r="A221" s="365"/>
      <c r="B221" s="295" t="s">
        <v>75</v>
      </c>
      <c r="C221" s="744"/>
      <c r="D221" s="92"/>
      <c r="E221" s="744"/>
      <c r="F221" s="126"/>
      <c r="H221" s="365"/>
      <c r="I221" s="365"/>
      <c r="J221" s="365"/>
      <c r="K221" s="365"/>
      <c r="L221" s="365"/>
      <c r="M221" s="365"/>
      <c r="N221" s="365"/>
      <c r="O221" s="365"/>
      <c r="P221" s="365"/>
      <c r="Q221" s="365"/>
      <c r="R221" s="365"/>
      <c r="S221" s="365"/>
      <c r="T221" s="365"/>
      <c r="U221" s="365"/>
      <c r="V221" s="365"/>
      <c r="W221" s="365"/>
      <c r="X221" s="365"/>
      <c r="Y221" s="365"/>
      <c r="Z221" s="365"/>
      <c r="AA221" s="365"/>
      <c r="AB221" s="365"/>
      <c r="AC221" s="365"/>
      <c r="AD221" s="365"/>
      <c r="AE221" s="365"/>
      <c r="AF221" s="365"/>
      <c r="AG221" s="365"/>
      <c r="AH221" s="365"/>
      <c r="AI221" s="365"/>
      <c r="AJ221" s="365"/>
      <c r="AK221" s="365"/>
      <c r="AL221" s="365"/>
      <c r="AM221" s="365"/>
      <c r="AN221" s="365"/>
      <c r="AO221" s="365"/>
      <c r="AP221" s="365"/>
      <c r="AQ221" s="365"/>
      <c r="AR221" s="365"/>
      <c r="AS221" s="365"/>
      <c r="AT221" s="365"/>
      <c r="AU221" s="365"/>
      <c r="AV221" s="365"/>
      <c r="AW221" s="365"/>
      <c r="AX221" s="365"/>
      <c r="AY221" s="365"/>
      <c r="AZ221" s="365"/>
      <c r="BA221" s="365"/>
      <c r="BB221" s="365"/>
      <c r="BC221" s="365"/>
      <c r="BD221" s="365"/>
      <c r="BE221" s="365"/>
      <c r="BF221" s="365"/>
      <c r="BG221" s="365"/>
    </row>
    <row r="222" spans="1:59" ht="12.75">
      <c r="A222" s="365"/>
      <c r="B222" s="295" t="s">
        <v>76</v>
      </c>
      <c r="C222" s="744"/>
      <c r="D222" s="92"/>
      <c r="E222" s="744"/>
      <c r="F222" s="126"/>
      <c r="H222" s="365"/>
      <c r="I222" s="365"/>
      <c r="J222" s="365"/>
      <c r="K222" s="365"/>
      <c r="L222" s="365"/>
      <c r="M222" s="365"/>
      <c r="N222" s="365"/>
      <c r="O222" s="365"/>
      <c r="P222" s="365"/>
      <c r="Q222" s="365"/>
      <c r="R222" s="365"/>
      <c r="S222" s="365"/>
      <c r="T222" s="365"/>
      <c r="U222" s="365"/>
      <c r="V222" s="365"/>
      <c r="W222" s="365"/>
      <c r="X222" s="365"/>
      <c r="Y222" s="365"/>
      <c r="Z222" s="365"/>
      <c r="AA222" s="365"/>
      <c r="AB222" s="365"/>
      <c r="AC222" s="365"/>
      <c r="AD222" s="365"/>
      <c r="AE222" s="365"/>
      <c r="AF222" s="365"/>
      <c r="AG222" s="365"/>
      <c r="AH222" s="365"/>
      <c r="AI222" s="365"/>
      <c r="AJ222" s="365"/>
      <c r="AK222" s="365"/>
      <c r="AL222" s="365"/>
      <c r="AM222" s="365"/>
      <c r="AN222" s="365"/>
      <c r="AO222" s="365"/>
      <c r="AP222" s="365"/>
      <c r="AQ222" s="365"/>
      <c r="AR222" s="365"/>
      <c r="AS222" s="365"/>
      <c r="AT222" s="365"/>
      <c r="AU222" s="365"/>
      <c r="AV222" s="365"/>
      <c r="AW222" s="365"/>
      <c r="AX222" s="365"/>
      <c r="AY222" s="365"/>
      <c r="AZ222" s="365"/>
      <c r="BA222" s="365"/>
      <c r="BB222" s="365"/>
      <c r="BC222" s="365"/>
      <c r="BD222" s="365"/>
      <c r="BE222" s="365"/>
      <c r="BF222" s="365"/>
      <c r="BG222" s="365"/>
    </row>
    <row r="223" spans="1:59" ht="12.75">
      <c r="A223" s="365"/>
      <c r="B223" s="295" t="s">
        <v>77</v>
      </c>
      <c r="C223" s="744"/>
      <c r="D223" s="92"/>
      <c r="E223" s="744"/>
      <c r="F223" s="126"/>
      <c r="H223" s="365"/>
      <c r="I223" s="365"/>
      <c r="J223" s="365"/>
      <c r="K223" s="365"/>
      <c r="L223" s="365"/>
      <c r="M223" s="365"/>
      <c r="N223" s="365"/>
      <c r="O223" s="365"/>
      <c r="P223" s="365"/>
      <c r="Q223" s="365"/>
      <c r="R223" s="365"/>
      <c r="S223" s="365"/>
      <c r="T223" s="365"/>
      <c r="U223" s="365"/>
      <c r="V223" s="365"/>
      <c r="W223" s="365"/>
      <c r="X223" s="365"/>
      <c r="Y223" s="365"/>
      <c r="Z223" s="365"/>
      <c r="AA223" s="365"/>
      <c r="AB223" s="365"/>
      <c r="AC223" s="365"/>
      <c r="AD223" s="365"/>
      <c r="AE223" s="365"/>
      <c r="AF223" s="365"/>
      <c r="AG223" s="365"/>
      <c r="AH223" s="365"/>
      <c r="AI223" s="365"/>
      <c r="AJ223" s="365"/>
      <c r="AK223" s="365"/>
      <c r="AL223" s="365"/>
      <c r="AM223" s="365"/>
      <c r="AN223" s="365"/>
      <c r="AO223" s="365"/>
      <c r="AP223" s="365"/>
      <c r="AQ223" s="365"/>
      <c r="AR223" s="365"/>
      <c r="AS223" s="365"/>
      <c r="AT223" s="365"/>
      <c r="AU223" s="365"/>
      <c r="AV223" s="365"/>
      <c r="AW223" s="365"/>
      <c r="AX223" s="365"/>
      <c r="AY223" s="365"/>
      <c r="AZ223" s="365"/>
      <c r="BA223" s="365"/>
      <c r="BB223" s="365"/>
      <c r="BC223" s="365"/>
      <c r="BD223" s="365"/>
      <c r="BE223" s="365"/>
      <c r="BF223" s="365"/>
      <c r="BG223" s="365"/>
    </row>
    <row r="224" spans="1:59" ht="12.75">
      <c r="A224" s="365"/>
      <c r="B224" s="295" t="s">
        <v>78</v>
      </c>
      <c r="C224" s="744"/>
      <c r="D224" s="92"/>
      <c r="E224" s="744"/>
      <c r="F224" s="126"/>
      <c r="H224" s="365"/>
      <c r="I224" s="365"/>
      <c r="J224" s="365"/>
      <c r="K224" s="365"/>
      <c r="L224" s="365"/>
      <c r="M224" s="365"/>
      <c r="N224" s="365"/>
      <c r="O224" s="365"/>
      <c r="P224" s="365"/>
      <c r="Q224" s="365"/>
      <c r="R224" s="365"/>
      <c r="S224" s="365"/>
      <c r="T224" s="365"/>
      <c r="U224" s="365"/>
      <c r="V224" s="365"/>
      <c r="W224" s="365"/>
      <c r="X224" s="365"/>
      <c r="Y224" s="365"/>
      <c r="Z224" s="365"/>
      <c r="AA224" s="365"/>
      <c r="AB224" s="365"/>
      <c r="AC224" s="365"/>
      <c r="AD224" s="365"/>
      <c r="AE224" s="365"/>
      <c r="AF224" s="365"/>
      <c r="AG224" s="365"/>
      <c r="AH224" s="365"/>
      <c r="AI224" s="365"/>
      <c r="AJ224" s="365"/>
      <c r="AK224" s="365"/>
      <c r="AL224" s="365"/>
      <c r="AM224" s="365"/>
      <c r="AN224" s="365"/>
      <c r="AO224" s="365"/>
      <c r="AP224" s="365"/>
      <c r="AQ224" s="365"/>
      <c r="AR224" s="365"/>
      <c r="AS224" s="365"/>
      <c r="AT224" s="365"/>
      <c r="AU224" s="365"/>
      <c r="AV224" s="365"/>
      <c r="AW224" s="365"/>
      <c r="AX224" s="365"/>
      <c r="AY224" s="365"/>
      <c r="AZ224" s="365"/>
      <c r="BA224" s="365"/>
      <c r="BB224" s="365"/>
      <c r="BC224" s="365"/>
      <c r="BD224" s="365"/>
      <c r="BE224" s="365"/>
      <c r="BF224" s="365"/>
      <c r="BG224" s="365"/>
    </row>
    <row r="225" spans="1:59" ht="12.75">
      <c r="A225" s="365"/>
      <c r="B225" s="295" t="s">
        <v>79</v>
      </c>
      <c r="C225" s="744"/>
      <c r="D225" s="92"/>
      <c r="E225" s="744"/>
      <c r="F225" s="126"/>
      <c r="H225" s="365"/>
      <c r="I225" s="365"/>
      <c r="J225" s="365"/>
      <c r="K225" s="365"/>
      <c r="L225" s="365"/>
      <c r="M225" s="365"/>
      <c r="N225" s="365"/>
      <c r="O225" s="365"/>
      <c r="P225" s="365"/>
      <c r="Q225" s="365"/>
      <c r="R225" s="365"/>
      <c r="S225" s="365"/>
      <c r="T225" s="365"/>
      <c r="U225" s="365"/>
      <c r="V225" s="365"/>
      <c r="W225" s="365"/>
      <c r="X225" s="365"/>
      <c r="Y225" s="365"/>
      <c r="Z225" s="365"/>
      <c r="AA225" s="365"/>
      <c r="AB225" s="365"/>
      <c r="AC225" s="365"/>
      <c r="AD225" s="365"/>
      <c r="AE225" s="365"/>
      <c r="AF225" s="365"/>
      <c r="AG225" s="365"/>
      <c r="AH225" s="365"/>
      <c r="AI225" s="365"/>
      <c r="AJ225" s="365"/>
      <c r="AK225" s="365"/>
      <c r="AL225" s="365"/>
      <c r="AM225" s="365"/>
      <c r="AN225" s="365"/>
      <c r="AO225" s="365"/>
      <c r="AP225" s="365"/>
      <c r="AQ225" s="365"/>
      <c r="AR225" s="365"/>
      <c r="AS225" s="365"/>
      <c r="AT225" s="365"/>
      <c r="AU225" s="365"/>
      <c r="AV225" s="365"/>
      <c r="AW225" s="365"/>
      <c r="AX225" s="365"/>
      <c r="AY225" s="365"/>
      <c r="AZ225" s="365"/>
      <c r="BA225" s="365"/>
      <c r="BB225" s="365"/>
      <c r="BC225" s="365"/>
      <c r="BD225" s="365"/>
      <c r="BE225" s="365"/>
      <c r="BF225" s="365"/>
      <c r="BG225" s="365"/>
    </row>
    <row r="226" spans="1:59" ht="13.5" thickBot="1">
      <c r="A226" s="365"/>
      <c r="B226" s="296" t="s">
        <v>80</v>
      </c>
      <c r="C226" s="745"/>
      <c r="D226" s="700"/>
      <c r="E226" s="745"/>
      <c r="F226" s="138"/>
      <c r="H226" s="365"/>
      <c r="I226" s="365"/>
      <c r="J226" s="365"/>
      <c r="K226" s="365"/>
      <c r="L226" s="365"/>
      <c r="M226" s="365"/>
      <c r="N226" s="365"/>
      <c r="O226" s="365"/>
      <c r="P226" s="365"/>
      <c r="Q226" s="365"/>
      <c r="R226" s="365"/>
      <c r="S226" s="365"/>
      <c r="T226" s="365"/>
      <c r="U226" s="365"/>
      <c r="V226" s="365"/>
      <c r="W226" s="365"/>
      <c r="X226" s="365"/>
      <c r="Y226" s="365"/>
      <c r="Z226" s="365"/>
      <c r="AA226" s="365"/>
      <c r="AB226" s="365"/>
      <c r="AC226" s="365"/>
      <c r="AD226" s="365"/>
      <c r="AE226" s="365"/>
      <c r="AF226" s="365"/>
      <c r="AG226" s="365"/>
      <c r="AH226" s="365"/>
      <c r="AI226" s="365"/>
      <c r="AJ226" s="365"/>
      <c r="AK226" s="365"/>
      <c r="AL226" s="365"/>
      <c r="AM226" s="365"/>
      <c r="AN226" s="365"/>
      <c r="AO226" s="365"/>
      <c r="AP226" s="365"/>
      <c r="AQ226" s="365"/>
      <c r="AR226" s="365"/>
      <c r="AS226" s="365"/>
      <c r="AT226" s="365"/>
      <c r="AU226" s="365"/>
      <c r="AV226" s="365"/>
      <c r="AW226" s="365"/>
      <c r="AX226" s="365"/>
      <c r="AY226" s="365"/>
      <c r="AZ226" s="365"/>
      <c r="BA226" s="365"/>
      <c r="BB226" s="365"/>
      <c r="BC226" s="365"/>
      <c r="BD226" s="365"/>
      <c r="BE226" s="365"/>
      <c r="BF226" s="365"/>
      <c r="BG226" s="365"/>
    </row>
    <row r="227" spans="2:8" ht="14.25" thickBot="1" thickTop="1">
      <c r="B227" s="6"/>
      <c r="C227" s="6"/>
      <c r="D227" s="31"/>
      <c r="E227" s="31"/>
      <c r="F227" s="30"/>
      <c r="G227" s="24"/>
      <c r="H227" s="30"/>
    </row>
    <row r="228" spans="1:7" ht="21.75" thickBot="1" thickTop="1">
      <c r="A228" s="370"/>
      <c r="B228" s="547" t="s">
        <v>362</v>
      </c>
      <c r="C228" s="548"/>
      <c r="D228" s="548"/>
      <c r="E228" s="548"/>
      <c r="F228" s="549"/>
      <c r="G228" s="24"/>
    </row>
    <row r="229" spans="2:7" ht="13.5" thickBot="1">
      <c r="B229" s="572"/>
      <c r="C229" s="573" t="s">
        <v>157</v>
      </c>
      <c r="D229" s="574" t="s">
        <v>156</v>
      </c>
      <c r="E229" s="574" t="s">
        <v>155</v>
      </c>
      <c r="F229" s="575" t="s">
        <v>154</v>
      </c>
      <c r="G229" s="365"/>
    </row>
    <row r="230" spans="2:6" ht="12.75">
      <c r="B230" s="576"/>
      <c r="C230" s="573"/>
      <c r="D230" s="574"/>
      <c r="E230" s="574"/>
      <c r="F230" s="575"/>
    </row>
    <row r="231" spans="2:6" ht="12.75">
      <c r="B231" s="577" t="s">
        <v>104</v>
      </c>
      <c r="C231" s="578">
        <f>IF($C7="Y",$C8*E8*E9*E10,0)</f>
        <v>0</v>
      </c>
      <c r="D231" s="578">
        <f>IF($C7="Y",$C8*F8*F9*F10,0)</f>
        <v>0</v>
      </c>
      <c r="E231" s="578">
        <v>0</v>
      </c>
      <c r="F231" s="579">
        <v>0</v>
      </c>
    </row>
    <row r="232" spans="2:6" ht="12.75">
      <c r="B232" s="577" t="s">
        <v>105</v>
      </c>
      <c r="C232" s="578">
        <f>IF($C20="y",$C23*'Secondary Sources'!$C3*$E23*$E24*E25,0)*365</f>
        <v>0</v>
      </c>
      <c r="D232" s="578">
        <f>IF($C20="y",$C23*'Secondary Sources'!$C3*$E23*E26*E27,0)*365</f>
        <v>0</v>
      </c>
      <c r="E232" s="578">
        <v>0</v>
      </c>
      <c r="F232" s="579">
        <f>IF($C20="y",$C23*'Secondary Sources'!$C3*$E23*$E28*E29,0)*365</f>
        <v>0</v>
      </c>
    </row>
    <row r="233" spans="2:6" ht="12.75">
      <c r="B233" s="577" t="s">
        <v>114</v>
      </c>
      <c r="C233" s="578">
        <f>$E233*'Secondary Sources'!$D14*'Secondary Sources'!$C14</f>
        <v>0</v>
      </c>
      <c r="D233" s="578">
        <f>$E233*'Secondary Sources'!$D13*'Secondary Sources'!$C13</f>
        <v>0</v>
      </c>
      <c r="E233" s="578">
        <f>'Secondary Sources'!E$114*C37</f>
        <v>0</v>
      </c>
      <c r="F233" s="579">
        <v>0</v>
      </c>
    </row>
    <row r="234" spans="2:7" ht="12.75">
      <c r="B234" s="577" t="s">
        <v>84</v>
      </c>
      <c r="C234" s="578">
        <f>SUMPRODUCT($C46:$C48,$F46:$F48)*SUM('Primary Sources'!N11:N20)/MAX(SUMPRODUCT('Primary Sources'!$E11:$E20,'Primary Sources'!$D11:$D20),1)*100+SUMPRODUCT($D46:$D48,$H46:$H48)*SUM('Primary Sources'!N21:N35)/MAX(SUMPRODUCT('Primary Sources'!$E21:$E35,'Primary Sources'!$D21:$D35),1)*100+SUMPRODUCT($E46:$E48,$H46:$H48)*(SUM('Primary Sources'!N21:N25)+SUM('Primary Sources'!N31:N35))/MAX(SUMPRODUCT('Primary Sources'!$E21:$E25,'Primary Sources'!$D21:$D25)+SUMPRODUCT('Primary Sources'!$E31:$E35,'Primary Sources'!$D31:$D35),1)*100</f>
        <v>0</v>
      </c>
      <c r="D234" s="578">
        <f>SUMPRODUCT($C46:$C48,$F46:$F48)*SUM('Primary Sources'!O11:O20)/MAX(SUMPRODUCT('Primary Sources'!$E11:$E20,'Primary Sources'!$D11:$D20),1)*100+SUMPRODUCT($D46:$D48,$H46:$H48)*SUM('Primary Sources'!O21:O35)/MAX(SUMPRODUCT('Primary Sources'!$E21:$E35,'Primary Sources'!$D21:$D35),1)*100+SUMPRODUCT($E46:$E48,$H46:$H48)*(SUM('Primary Sources'!O21:O25)+SUM('Primary Sources'!O31:O35))/MAX(SUMPRODUCT('Primary Sources'!$E21:$E25,'Primary Sources'!$D21:$D25)+SUMPRODUCT('Primary Sources'!$E31:$E35,'Primary Sources'!$D31:$D35),1)*100</f>
        <v>0</v>
      </c>
      <c r="E234" s="578">
        <f>SUMPRODUCT($C46:$C48,$G46:$G48)*SUM('Primary Sources'!P11:P20)/MAX(SUMPRODUCT('Primary Sources'!$E11:$E20,'Primary Sources'!$D11:$D20),1)*100+SUMPRODUCT($D46:$D48,$I46:$I48)*SUM('Primary Sources'!P21:P35)/MAX(SUMPRODUCT('Primary Sources'!$E21:$E35,'Primary Sources'!$D21:$D35),1)*100+SUMPRODUCT($E46:$E48,$I46:$I48)*(SUM('Primary Sources'!P21:P25)+SUM('Primary Sources'!P31:P35))/MAX(SUMPRODUCT('Primary Sources'!$E21:$E25,'Primary Sources'!$D21:$D25)+SUMPRODUCT('Primary Sources'!$E31:$E35,'Primary Sources'!$D31:$D35),1)*100</f>
        <v>0</v>
      </c>
      <c r="F234" s="579"/>
      <c r="G234" s="6"/>
    </row>
    <row r="235" spans="1:8" ht="12.75">
      <c r="A235" s="378"/>
      <c r="B235" s="577" t="s">
        <v>219</v>
      </c>
      <c r="C235" s="578"/>
      <c r="D235" s="578"/>
      <c r="E235" s="578" t="e">
        <f>'Secondary Sources'!E122*SUM(C46:E48)/(C50+D50+E50)</f>
        <v>#DIV/0!</v>
      </c>
      <c r="F235" s="579"/>
      <c r="H235" s="754">
        <f>E233</f>
        <v>0</v>
      </c>
    </row>
    <row r="236" spans="2:7" ht="12.75">
      <c r="B236" s="577" t="s">
        <v>240</v>
      </c>
      <c r="C236" s="578" t="e">
        <f>$C$55*'Secondary Sources'!$C3/SUMPRODUCT('Primary Sources'!$D$11:$D$20,'Primary Sources'!$E$11:$E$20)*100*SUM('Primary Sources'!N$11:N$20)/43560</f>
        <v>#DIV/0!</v>
      </c>
      <c r="D236" s="578" t="e">
        <f>$C$55*'Secondary Sources'!$C3/SUMPRODUCT('Primary Sources'!$D$11:$D$20,'Primary Sources'!$E$11:$E$20)*100*SUM('Primary Sources'!O$11:O$20)/43560</f>
        <v>#DIV/0!</v>
      </c>
      <c r="E236" s="578" t="e">
        <f>$C$55*'Secondary Sources'!$C3/SUMPRODUCT('Primary Sources'!$D$11:$D$20,'Primary Sources'!$E$11:$E$20)*100*SUM('Primary Sources'!P$11:P$20)/43560</f>
        <v>#DIV/0!</v>
      </c>
      <c r="F236" s="578" t="e">
        <f>$C$55*'Secondary Sources'!$C3/SUMPRODUCT('Primary Sources'!$D$11:$D$20,'Primary Sources'!$E$11:$E$20)*100*SUM('Primary Sources'!Q$11:Q$20)/43560</f>
        <v>#DIV/0!</v>
      </c>
      <c r="G236"/>
    </row>
    <row r="237" spans="2:6" ht="12.75">
      <c r="B237" s="577" t="s">
        <v>241</v>
      </c>
      <c r="C237" s="578">
        <f>$C64*SUM('Primary Sources'!N21:N25)</f>
        <v>0</v>
      </c>
      <c r="D237" s="578">
        <f>$C64*SUM('Primary Sources'!O21:O25)</f>
        <v>0</v>
      </c>
      <c r="E237" s="578">
        <f>$C64*SUM('Primary Sources'!P21:P25)</f>
        <v>0</v>
      </c>
      <c r="F237" s="579">
        <f>$C64*SUM('Primary Sources'!Q21:Q25)</f>
        <v>0</v>
      </c>
    </row>
    <row r="238" spans="2:6" ht="12.75">
      <c r="B238" s="577" t="s">
        <v>127</v>
      </c>
      <c r="C238" s="578" t="e">
        <f>IF($C$80&gt;'Primary Sources'!$D$54*'Primary Sources'!$E$54/100,"Exceeds Total Drainage",D$80*(SUM('Primary Sources'!N$11:N$35)+'Secondary Sources'!C124))</f>
        <v>#DIV/0!</v>
      </c>
      <c r="D238" s="578" t="e">
        <f>IF($C$80&gt;'Primary Sources'!$D$54*'Primary Sources'!$E$54/100,"Exceeds Total Drainage",E$80*(SUM('Primary Sources'!O$11:O$35)+'Secondary Sources'!D124))</f>
        <v>#DIV/0!</v>
      </c>
      <c r="E238" s="578" t="e">
        <f>IF($C$80&gt;'Primary Sources'!$D$54*'Primary Sources'!$E$54/100,"Exceeds Total Drainage",F$80*(SUM('Primary Sources'!P$11:P$35)+'Secondary Sources'!E124))</f>
        <v>#DIV/0!</v>
      </c>
      <c r="F238" s="578" t="e">
        <f>IF($C$80&gt;'Primary Sources'!$D$54*'Primary Sources'!$E$54/100,"Exceeds Total Drainage",G$80*(SUM('Primary Sources'!Q$11:Q$35)+'Secondary Sources'!F124))</f>
        <v>#DIV/0!</v>
      </c>
    </row>
    <row r="239" spans="2:8" ht="12.75">
      <c r="B239" s="577" t="s">
        <v>86</v>
      </c>
      <c r="C239" s="578">
        <f>B93*(SUM('Primary Sources'!N11:N35)+'Secondary Sources'!C124)</f>
        <v>0</v>
      </c>
      <c r="D239" s="578">
        <f>C93*(SUM('Primary Sources'!O11:O35)+'Secondary Sources'!D124)</f>
        <v>0</v>
      </c>
      <c r="E239" s="578">
        <f>D93*(SUM('Primary Sources'!P11:P35)+'Secondary Sources'!E124)</f>
        <v>0</v>
      </c>
      <c r="F239" s="578">
        <f>E93*(SUM('Primary Sources'!Q11:Q35)+'Secondary Sources'!F124)</f>
        <v>0</v>
      </c>
      <c r="H239" s="30"/>
    </row>
    <row r="240" spans="2:6" ht="12.75">
      <c r="B240" s="577" t="s">
        <v>139</v>
      </c>
      <c r="C240" s="580">
        <f>$D102*(SUM('Primary Sources'!N11:N35)+'Secondary Sources'!C124)</f>
        <v>0</v>
      </c>
      <c r="D240" s="580">
        <f>$D102*(SUM('Primary Sources'!O11:O35)+'Secondary Sources'!D124)</f>
        <v>0</v>
      </c>
      <c r="E240" s="580">
        <f>$E102*(SUM('Primary Sources'!P11:P35)+'Secondary Sources'!E124)</f>
        <v>0</v>
      </c>
      <c r="F240" s="581"/>
    </row>
    <row r="241" spans="2:6" ht="12.75">
      <c r="B241" s="577" t="s">
        <v>142</v>
      </c>
      <c r="C241" s="559">
        <f>IF($C109&gt;0,'Secondary Sources'!C121,0)</f>
        <v>0</v>
      </c>
      <c r="D241" s="560">
        <f>IF($C109&gt;0,'Secondary Sources'!D121,0)</f>
        <v>0</v>
      </c>
      <c r="E241" s="560">
        <f>IF($C109&gt;0,'Secondary Sources'!E121,0)</f>
        <v>0</v>
      </c>
      <c r="F241" s="562">
        <f>IF($C109&gt;0,'Secondary Sources'!F121,0)</f>
        <v>0</v>
      </c>
    </row>
    <row r="242" spans="2:6" ht="12.75">
      <c r="B242" s="577" t="s">
        <v>170</v>
      </c>
      <c r="C242" s="559">
        <f>IF(C115="y",'Secondary Sources'!C113*(1-'Secondary Sources'!$E$19/('Secondary Sources'!$G$19*'Secondary Sources'!$E$17+(1-'Secondary Sources'!$E$17)*'Secondary Sources'!$E$19)),0)</f>
        <v>0</v>
      </c>
      <c r="D242" s="560">
        <f>IF(C118="y",'Secondary Sources'!D113*(1-'Secondary Sources'!$E$20/('Secondary Sources'!$G$20*'Secondary Sources'!$E$17+(1-'Secondary Sources'!$E$17)*'Secondary Sources'!$E$20)),0)</f>
        <v>0</v>
      </c>
      <c r="E242" s="560">
        <f>IF(C118="y",'Secondary Sources'!E113*(1-'Secondary Sources'!$E$21/('Secondary Sources'!$G$21*'Secondary Sources'!$E$17+(1-'Secondary Sources'!$E$17)*'Secondary Sources'!$E$21)),0)</f>
        <v>0</v>
      </c>
      <c r="F242" s="562">
        <f>IF(C118="y",'Secondary Sources'!F113*(1-'Secondary Sources'!$E$22/('Secondary Sources'!$G$22*'Secondary Sources'!$E$17+(1-'Secondary Sources'!$E$17)*'Secondary Sources'!$E$22)),0)</f>
        <v>0</v>
      </c>
    </row>
    <row r="243" spans="2:6" ht="12.75">
      <c r="B243" s="577" t="s">
        <v>162</v>
      </c>
      <c r="C243" s="582">
        <f>$C124*D124-SUMPRODUCT($C128:$C142,D128:D142)</f>
        <v>0</v>
      </c>
      <c r="D243" s="583">
        <f>$C124*E124-SUMPRODUCT($C128:$C142,E128:E142)</f>
        <v>0</v>
      </c>
      <c r="E243" s="583">
        <f>$C124*F124-SUMPRODUCT($C128:$C142,F128:F142)</f>
        <v>0</v>
      </c>
      <c r="F243" s="584">
        <f>$C124*G124-SUMPRODUCT($C128:$C142,G128:G142)</f>
        <v>0</v>
      </c>
    </row>
    <row r="244" spans="2:6" ht="12.75">
      <c r="B244" s="577" t="s">
        <v>163</v>
      </c>
      <c r="C244" s="582" t="e">
        <f>$C146*$C147/'Primary Sources'!$D54/'Primary Sources'!$E54*100*SUM('Primary Sources'!N11:N35)</f>
        <v>#DIV/0!</v>
      </c>
      <c r="D244" s="583" t="e">
        <f>$C146*$C147/'Primary Sources'!$D54/'Primary Sources'!$E54*100*SUM('Primary Sources'!O11:O35)</f>
        <v>#DIV/0!</v>
      </c>
      <c r="E244" s="583" t="e">
        <f>$C146*$C147/'Primary Sources'!$D54/'Primary Sources'!$E54*100*SUM('Primary Sources'!P11:P35)</f>
        <v>#DIV/0!</v>
      </c>
      <c r="F244" s="584" t="e">
        <f>$C146*$C147/'Primary Sources'!$D54/'Primary Sources'!$E54*100*SUM('Primary Sources'!Q11:Q35)</f>
        <v>#DIV/0!</v>
      </c>
    </row>
    <row r="245" spans="2:6" ht="12.75">
      <c r="B245" s="577" t="s">
        <v>178</v>
      </c>
      <c r="C245" s="585">
        <f>IF($C153*$C154&gt;SUMPRODUCT('Primary Sources'!$D11:$D35,'Primary Sources'!$E11:$E35)/100,"EXCEEDS TOTAL DRAINAGE",IF('Future Management Practices'!$C153&gt;'Primary Sources'!$D54,"EXCEEDS TOTAL DRAINAGE",D168*SUM('Primary Sources'!N11:N35)))</f>
        <v>0</v>
      </c>
      <c r="D245" s="586">
        <f>IF($C153*$C154&gt;SUMPRODUCT('Primary Sources'!$D11:$D35,'Primary Sources'!$E11:$E35)/100,"EXCEEDS TOTAL DRAINAGE",IF('Future Management Practices'!$C153&gt;'Primary Sources'!$D54,"EXCEEDS TOTAL DRAINAGE",E168*SUM('Primary Sources'!O11:O35)))</f>
        <v>0</v>
      </c>
      <c r="E245" s="586">
        <f>IF($C153*$C154&gt;SUMPRODUCT('Primary Sources'!$D11:$D35,'Primary Sources'!$E11:$E35)/100,"EXCEEDS TOTAL DRAINAGE",IF('Future Management Practices'!$C153&gt;'Primary Sources'!$D54,"EXCEEDS TOTAL DRAINAGE",F168*SUM('Primary Sources'!P11:P35)))</f>
        <v>0</v>
      </c>
      <c r="F245" s="587">
        <f>IF($C153*$C154&gt;SUMPRODUCT('Primary Sources'!$D11:$D35,'Primary Sources'!$E11:$E35)/100,"EXCEEDS TOTAL DRAINAGE",IF('Future Management Practices'!$C153&gt;'Primary Sources'!$D54,"EXCEEDS TOTAL DRAINAGE",G168*SUM('Primary Sources'!Q11:Q35)))</f>
        <v>0</v>
      </c>
    </row>
    <row r="246" spans="2:6" ht="12.75">
      <c r="B246" s="577" t="s">
        <v>164</v>
      </c>
      <c r="C246" s="588">
        <f>'Secondary Sources'!C117</f>
        <v>0</v>
      </c>
      <c r="D246" s="589">
        <f>'Secondary Sources'!D117</f>
        <v>0</v>
      </c>
      <c r="E246" s="589">
        <f>'Secondary Sources'!E117</f>
        <v>0</v>
      </c>
      <c r="F246" s="587">
        <f>'Secondary Sources'!F117</f>
        <v>0</v>
      </c>
    </row>
    <row r="247" spans="2:6" ht="12.75">
      <c r="B247" s="577" t="s">
        <v>165</v>
      </c>
      <c r="C247" s="582">
        <f>(1-$C188/'Secondary Sources'!$E33)*'Secondary Sources'!C116</f>
        <v>0</v>
      </c>
      <c r="D247" s="583">
        <f>(1-$C188/'Secondary Sources'!$E33)*'Secondary Sources'!D116</f>
        <v>0</v>
      </c>
      <c r="E247" s="583">
        <f>(1-$C188/'Secondary Sources'!$E33)*'Secondary Sources'!E116</f>
        <v>0</v>
      </c>
      <c r="F247" s="584">
        <f>(1-$C188/'Secondary Sources'!$E33)*'Secondary Sources'!F116</f>
        <v>0</v>
      </c>
    </row>
    <row r="248" spans="2:6" ht="12.75">
      <c r="B248" s="577" t="s">
        <v>166</v>
      </c>
      <c r="C248" s="582">
        <f>'Secondary Sources'!C115*$C193</f>
        <v>0</v>
      </c>
      <c r="D248" s="583">
        <f>'Secondary Sources'!D115*$C193</f>
        <v>0</v>
      </c>
      <c r="E248" s="583">
        <f>'Secondary Sources'!E115*$C193</f>
        <v>0</v>
      </c>
      <c r="F248" s="584">
        <f>'Secondary Sources'!F115*$C193</f>
        <v>0</v>
      </c>
    </row>
    <row r="249" spans="2:6" ht="12.75">
      <c r="B249" s="577" t="s">
        <v>179</v>
      </c>
      <c r="C249" s="582">
        <f>IF(C198="y",'Secondary Sources'!C113*(1-'Secondary Sources'!$E$19/('Secondary Sources'!$G$19*'Secondary Sources'!$E$17+(1-'Secondary Sources'!$E$17)*'Secondary Sources'!$E$19)),0)</f>
        <v>0</v>
      </c>
      <c r="D249" s="583">
        <f>IF(C198="y",'Secondary Sources'!D113*(1-'Secondary Sources'!$E$20/('Secondary Sources'!$G$20*'Secondary Sources'!$E$17+(1-'Secondary Sources'!$E$17)*'Secondary Sources'!$E$20)),0)</f>
        <v>0</v>
      </c>
      <c r="E249" s="583">
        <f>IF(C198="y",'Secondary Sources'!E113*(1-'Secondary Sources'!$E$21/('Secondary Sources'!$G$21*'Secondary Sources'!$E$17+(1-'Secondary Sources'!$E$17)*'Secondary Sources'!$E$21)),0)</f>
        <v>0</v>
      </c>
      <c r="F249" s="584"/>
    </row>
    <row r="250" spans="2:6" ht="23.25" customHeight="1">
      <c r="B250" s="577" t="s">
        <v>180</v>
      </c>
      <c r="C250" s="585">
        <f>IF(C205="y",'Secondary Sources'!C113*(1-(1-'Future Management Practices'!C210)/(1-'Future Management Practices'!C212)),0)</f>
        <v>0</v>
      </c>
      <c r="D250" s="586">
        <f>IF(D205="y",'Secondary Sources'!D113*(1-(1-'Future Management Practices'!D210)/(1-'Future Management Practices'!D212)),0)</f>
        <v>0</v>
      </c>
      <c r="E250" s="586">
        <f>IF(E205="y",'Secondary Sources'!E113*(1-(1-'Future Management Practices'!E210)/(1-'Future Management Practices'!E212)),0)</f>
        <v>0</v>
      </c>
      <c r="F250" s="587">
        <f>IF(F205="y",'Secondary Sources'!F113*(1-(1-'Future Management Practices'!F210)/(1-'Future Management Practices'!F212)),0)</f>
        <v>0</v>
      </c>
    </row>
    <row r="251" spans="1:7" s="24" customFormat="1" ht="24" customHeight="1">
      <c r="A251" s="371"/>
      <c r="B251" s="577" t="s">
        <v>173</v>
      </c>
      <c r="C251" s="585" t="e">
        <f>$E251*'Secondary Sources'!C118/'Secondary Sources'!$E118</f>
        <v>#DIV/0!</v>
      </c>
      <c r="D251" s="880" t="e">
        <f>$E251*'Secondary Sources'!D118/'Secondary Sources'!$E118</f>
        <v>#DIV/0!</v>
      </c>
      <c r="E251" s="746" t="e">
        <f>('Secondary Sources'!E118-'Secondary Sources'!C61*'Primary Sources'!C64*2000)*C178/MAX(C177,1)</f>
        <v>#DIV/0!</v>
      </c>
      <c r="F251" s="584">
        <v>0</v>
      </c>
      <c r="G251" s="25"/>
    </row>
    <row r="252" spans="1:7" s="24" customFormat="1" ht="24" customHeight="1" thickBot="1">
      <c r="A252" s="371"/>
      <c r="B252" s="590" t="s">
        <v>323</v>
      </c>
      <c r="C252" s="591">
        <f>SUM(C217:C226)</f>
        <v>0</v>
      </c>
      <c r="D252" s="592">
        <f>SUM(D217:D226)</f>
        <v>0</v>
      </c>
      <c r="E252" s="593">
        <f>SUM(E217:E226)</f>
        <v>0</v>
      </c>
      <c r="F252" s="594">
        <f>SUM(F217:F226)</f>
        <v>0</v>
      </c>
      <c r="G252" s="25"/>
    </row>
    <row r="253" spans="3:256" ht="21.75" customHeight="1" thickBot="1" thickTop="1">
      <c r="C253" s="754"/>
      <c r="H253" s="365"/>
      <c r="I253" s="365"/>
      <c r="J253" s="365"/>
      <c r="K253" s="365"/>
      <c r="L253" s="365"/>
      <c r="M253" s="365"/>
      <c r="N253" s="365"/>
      <c r="O253" s="365"/>
      <c r="P253" s="365"/>
      <c r="Q253" s="365"/>
      <c r="R253" s="365"/>
      <c r="S253" s="365"/>
      <c r="T253" s="365"/>
      <c r="U253" s="365"/>
      <c r="V253" s="365"/>
      <c r="W253" s="365"/>
      <c r="X253" s="365"/>
      <c r="Y253" s="365"/>
      <c r="Z253" s="365"/>
      <c r="AA253" s="365"/>
      <c r="AB253" s="365"/>
      <c r="AC253" s="365"/>
      <c r="AD253" s="365"/>
      <c r="AE253" s="365"/>
      <c r="AF253" s="365"/>
      <c r="AG253" s="365"/>
      <c r="AH253" s="365"/>
      <c r="AI253" s="365"/>
      <c r="AJ253" s="365"/>
      <c r="AK253" s="365"/>
      <c r="AL253" s="365"/>
      <c r="AM253" s="365"/>
      <c r="AN253" s="365"/>
      <c r="AO253" s="365"/>
      <c r="AP253" s="365"/>
      <c r="AQ253" s="365"/>
      <c r="AR253" s="365"/>
      <c r="AS253" s="365"/>
      <c r="AT253" s="365"/>
      <c r="AU253" s="365"/>
      <c r="AV253" s="365"/>
      <c r="AW253" s="365"/>
      <c r="AX253" s="365"/>
      <c r="AY253" s="365"/>
      <c r="AZ253" s="365"/>
      <c r="BA253" s="365"/>
      <c r="BB253" s="365"/>
      <c r="BC253" s="365"/>
      <c r="BD253" s="365"/>
      <c r="BE253" s="365"/>
      <c r="BF253" s="365"/>
      <c r="BG253" s="365"/>
      <c r="BH253" s="365"/>
      <c r="BI253" s="365"/>
      <c r="BJ253" s="365"/>
      <c r="BK253" s="365"/>
      <c r="BL253" s="365"/>
      <c r="BM253" s="365"/>
      <c r="BN253" s="365"/>
      <c r="BO253" s="365"/>
      <c r="BP253" s="365"/>
      <c r="BQ253" s="365"/>
      <c r="BR253" s="365"/>
      <c r="BS253" s="365"/>
      <c r="BT253" s="365"/>
      <c r="BU253" s="365"/>
      <c r="BV253" s="365"/>
      <c r="BW253" s="365"/>
      <c r="BX253" s="365"/>
      <c r="BY253" s="365"/>
      <c r="BZ253" s="365"/>
      <c r="CA253" s="365"/>
      <c r="CB253" s="365"/>
      <c r="CC253" s="365"/>
      <c r="CD253" s="365"/>
      <c r="CE253" s="365"/>
      <c r="CF253" s="365"/>
      <c r="CG253" s="365"/>
      <c r="CH253" s="365"/>
      <c r="CI253" s="365"/>
      <c r="CJ253" s="365"/>
      <c r="CK253" s="365"/>
      <c r="CL253" s="365"/>
      <c r="CM253" s="365"/>
      <c r="CN253" s="365"/>
      <c r="CO253" s="365"/>
      <c r="CP253" s="365"/>
      <c r="CQ253" s="365"/>
      <c r="CR253" s="365"/>
      <c r="CS253" s="365"/>
      <c r="CT253" s="365"/>
      <c r="CU253" s="365"/>
      <c r="CV253" s="365"/>
      <c r="CW253" s="365"/>
      <c r="CX253" s="365"/>
      <c r="CY253" s="365"/>
      <c r="CZ253" s="365"/>
      <c r="DA253" s="365"/>
      <c r="DB253" s="365"/>
      <c r="DC253" s="365"/>
      <c r="DD253" s="365"/>
      <c r="DE253" s="365"/>
      <c r="DF253" s="365"/>
      <c r="DG253" s="365"/>
      <c r="DH253" s="365"/>
      <c r="DI253" s="365"/>
      <c r="DJ253" s="365"/>
      <c r="DK253" s="365"/>
      <c r="DL253" s="365"/>
      <c r="DM253" s="365"/>
      <c r="DN253" s="365"/>
      <c r="DO253" s="365"/>
      <c r="DP253" s="365"/>
      <c r="DQ253" s="365"/>
      <c r="DR253" s="365"/>
      <c r="DS253" s="365"/>
      <c r="DT253" s="365"/>
      <c r="DU253" s="365"/>
      <c r="DV253" s="365"/>
      <c r="DW253" s="365"/>
      <c r="DX253" s="365"/>
      <c r="DY253" s="365"/>
      <c r="DZ253" s="365"/>
      <c r="EA253" s="365"/>
      <c r="EB253" s="365"/>
      <c r="EC253" s="365"/>
      <c r="ED253" s="365"/>
      <c r="EE253" s="365"/>
      <c r="EF253" s="365"/>
      <c r="EG253" s="365"/>
      <c r="EH253" s="365"/>
      <c r="EI253" s="365"/>
      <c r="EJ253" s="365"/>
      <c r="EK253" s="365"/>
      <c r="EL253" s="365"/>
      <c r="EM253" s="365"/>
      <c r="EN253" s="365"/>
      <c r="EO253" s="365"/>
      <c r="EP253" s="365"/>
      <c r="EQ253" s="365"/>
      <c r="ER253" s="365"/>
      <c r="ES253" s="365"/>
      <c r="ET253" s="365"/>
      <c r="EU253" s="365"/>
      <c r="EV253" s="365"/>
      <c r="EW253" s="365"/>
      <c r="EX253" s="365"/>
      <c r="EY253" s="365"/>
      <c r="EZ253" s="365"/>
      <c r="FA253" s="365"/>
      <c r="FB253" s="365"/>
      <c r="FC253" s="365"/>
      <c r="FD253" s="365"/>
      <c r="FE253" s="365"/>
      <c r="FF253" s="365"/>
      <c r="FG253" s="365"/>
      <c r="FH253" s="365"/>
      <c r="FI253" s="365"/>
      <c r="FJ253" s="365"/>
      <c r="FK253" s="365"/>
      <c r="FL253" s="365"/>
      <c r="FM253" s="365"/>
      <c r="FN253" s="365"/>
      <c r="FO253" s="365"/>
      <c r="FP253" s="365"/>
      <c r="FQ253" s="365"/>
      <c r="FR253" s="365"/>
      <c r="FS253" s="365"/>
      <c r="FT253" s="365"/>
      <c r="FU253" s="365"/>
      <c r="FV253" s="365"/>
      <c r="FW253" s="365"/>
      <c r="FX253" s="365"/>
      <c r="FY253" s="365"/>
      <c r="FZ253" s="365"/>
      <c r="GA253" s="365"/>
      <c r="GB253" s="365"/>
      <c r="GC253" s="365"/>
      <c r="GD253" s="365"/>
      <c r="GE253" s="365"/>
      <c r="GF253" s="365"/>
      <c r="GG253" s="365"/>
      <c r="GH253" s="365"/>
      <c r="GI253" s="365"/>
      <c r="GJ253" s="365"/>
      <c r="GK253" s="365"/>
      <c r="GL253" s="365"/>
      <c r="GM253" s="365"/>
      <c r="GN253" s="365"/>
      <c r="GO253" s="365"/>
      <c r="GP253" s="365"/>
      <c r="GQ253" s="365"/>
      <c r="GR253" s="365"/>
      <c r="GS253" s="365"/>
      <c r="GT253" s="365"/>
      <c r="GU253" s="365"/>
      <c r="GV253" s="365"/>
      <c r="GW253" s="365"/>
      <c r="GX253" s="365"/>
      <c r="GY253" s="365"/>
      <c r="GZ253" s="365"/>
      <c r="HA253" s="365"/>
      <c r="HB253" s="365"/>
      <c r="HC253" s="365"/>
      <c r="HD253" s="365"/>
      <c r="HE253" s="365"/>
      <c r="HF253" s="365"/>
      <c r="HG253" s="365"/>
      <c r="HH253" s="365"/>
      <c r="HI253" s="365"/>
      <c r="HJ253" s="365"/>
      <c r="HK253" s="365"/>
      <c r="HL253" s="365"/>
      <c r="HM253" s="365"/>
      <c r="HN253" s="365"/>
      <c r="HO253" s="365"/>
      <c r="HP253" s="365"/>
      <c r="HQ253" s="365"/>
      <c r="HR253" s="365"/>
      <c r="HS253" s="365"/>
      <c r="HT253" s="365"/>
      <c r="HU253" s="365"/>
      <c r="HV253" s="365"/>
      <c r="HW253" s="365"/>
      <c r="HX253" s="365"/>
      <c r="HY253" s="365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" ht="17.25" customHeight="1" hidden="1" thickBot="1">
      <c r="A254"/>
      <c r="B254" s="34"/>
    </row>
    <row r="255" spans="1:7" ht="32.25" customHeight="1" thickBot="1" thickTop="1">
      <c r="A255"/>
      <c r="B255" s="26" t="s">
        <v>201</v>
      </c>
      <c r="C255" s="28"/>
      <c r="D255" s="28"/>
      <c r="E255" s="28"/>
      <c r="F255" s="16"/>
      <c r="G255"/>
    </row>
    <row r="256" spans="1:7" ht="16.5" customHeight="1" thickBot="1">
      <c r="A256"/>
      <c r="B256" s="27"/>
      <c r="C256" s="11" t="s">
        <v>157</v>
      </c>
      <c r="D256" s="11" t="s">
        <v>156</v>
      </c>
      <c r="E256" s="11" t="s">
        <v>155</v>
      </c>
      <c r="F256" s="12" t="s">
        <v>154</v>
      </c>
      <c r="G256" s="7"/>
    </row>
    <row r="257" spans="1:7" ht="19.5" customHeight="1">
      <c r="A257"/>
      <c r="B257" s="102"/>
      <c r="C257" s="89"/>
      <c r="D257" s="42"/>
      <c r="E257" s="42"/>
      <c r="F257" s="43"/>
      <c r="G257"/>
    </row>
    <row r="258" spans="1:8" ht="24.75" customHeight="1">
      <c r="A258"/>
      <c r="B258" s="103" t="s">
        <v>104</v>
      </c>
      <c r="C258" s="405">
        <f>'Discounts - Future'!C33</f>
        <v>0</v>
      </c>
      <c r="D258" s="311">
        <f>'Discounts - Future'!D33</f>
        <v>0</v>
      </c>
      <c r="E258" s="311">
        <f>'Discounts - Future'!E33</f>
        <v>0</v>
      </c>
      <c r="F258" s="308">
        <f>'Discounts - Future'!F33</f>
        <v>0</v>
      </c>
      <c r="G258"/>
      <c r="H258" s="30"/>
    </row>
    <row r="259" spans="1:7" ht="21.75" customHeight="1">
      <c r="A259"/>
      <c r="B259" s="103" t="s">
        <v>105</v>
      </c>
      <c r="C259" s="405">
        <f>'Discounts - Future'!C34</f>
        <v>0</v>
      </c>
      <c r="D259" s="311">
        <f>'Discounts - Future'!D34</f>
        <v>0</v>
      </c>
      <c r="E259" s="311">
        <f>'Discounts - Future'!E34</f>
        <v>0</v>
      </c>
      <c r="F259" s="308">
        <f>'Discounts - Future'!F34</f>
        <v>0</v>
      </c>
      <c r="G259"/>
    </row>
    <row r="260" spans="1:7" ht="22.5" customHeight="1">
      <c r="A260" s="25"/>
      <c r="B260" s="103" t="s">
        <v>114</v>
      </c>
      <c r="C260" s="405">
        <f>'Discounts - Future'!C35</f>
        <v>0</v>
      </c>
      <c r="D260" s="311">
        <f>'Discounts - Future'!D35</f>
        <v>0</v>
      </c>
      <c r="E260" s="311">
        <f>'Discounts - Future'!E35</f>
        <v>0</v>
      </c>
      <c r="F260" s="308">
        <f>'Discounts - Future'!F35</f>
        <v>0</v>
      </c>
      <c r="G260" s="33"/>
    </row>
    <row r="261" spans="1:7" ht="22.5" customHeight="1">
      <c r="A261"/>
      <c r="B261" s="103" t="s">
        <v>84</v>
      </c>
      <c r="C261" s="405">
        <f>'Discounts - Future'!C36</f>
        <v>0</v>
      </c>
      <c r="D261" s="405">
        <f>'Discounts - Future'!D36</f>
        <v>0</v>
      </c>
      <c r="E261" s="405">
        <f>'Discounts - Future'!E36</f>
        <v>0</v>
      </c>
      <c r="F261" s="405">
        <f>'Discounts - Future'!F36</f>
        <v>0</v>
      </c>
      <c r="G261" s="7"/>
    </row>
    <row r="262" spans="1:7" ht="20.25" customHeight="1">
      <c r="A262"/>
      <c r="B262" s="103" t="s">
        <v>220</v>
      </c>
      <c r="C262" s="405">
        <f>'Discounts - Future'!C37</f>
        <v>0</v>
      </c>
      <c r="D262" s="311">
        <f>'Discounts - Future'!D37</f>
        <v>0</v>
      </c>
      <c r="E262" s="311" t="e">
        <f>'Discounts - Future'!E37</f>
        <v>#DIV/0!</v>
      </c>
      <c r="F262" s="308">
        <f>'Discounts - Future'!F37</f>
        <v>0</v>
      </c>
      <c r="G262" s="33"/>
    </row>
    <row r="263" spans="1:7" ht="15" customHeight="1">
      <c r="A263"/>
      <c r="B263" s="103" t="s">
        <v>85</v>
      </c>
      <c r="C263" s="405" t="e">
        <f>'Discounts - Future'!C38</f>
        <v>#DIV/0!</v>
      </c>
      <c r="D263" s="311" t="e">
        <f>'Discounts - Future'!D38</f>
        <v>#DIV/0!</v>
      </c>
      <c r="E263" s="311" t="e">
        <f>'Discounts - Future'!E38</f>
        <v>#DIV/0!</v>
      </c>
      <c r="F263" s="308" t="e">
        <f>'Discounts - Future'!F38</f>
        <v>#DIV/0!</v>
      </c>
      <c r="G263" s="33"/>
    </row>
    <row r="264" spans="1:7" ht="18" customHeight="1">
      <c r="A264"/>
      <c r="B264" s="103" t="s">
        <v>127</v>
      </c>
      <c r="C264" s="405" t="e">
        <f>'Discounts - Future'!C39</f>
        <v>#DIV/0!</v>
      </c>
      <c r="D264" s="311" t="e">
        <f>'Discounts - Future'!D39</f>
        <v>#DIV/0!</v>
      </c>
      <c r="E264" s="311" t="e">
        <f>'Discounts - Future'!E39</f>
        <v>#DIV/0!</v>
      </c>
      <c r="F264" s="308" t="e">
        <f>'Discounts - Future'!F39</f>
        <v>#DIV/0!</v>
      </c>
      <c r="G264" s="33"/>
    </row>
    <row r="265" spans="1:7" ht="18.75" customHeight="1">
      <c r="A265"/>
      <c r="B265" s="103" t="s">
        <v>86</v>
      </c>
      <c r="C265" s="405" t="e">
        <f>'Discounts - Future'!C40</f>
        <v>#DIV/0!</v>
      </c>
      <c r="D265" s="311" t="e">
        <f>'Discounts - Future'!D40</f>
        <v>#DIV/0!</v>
      </c>
      <c r="E265" s="311" t="e">
        <f>'Discounts - Future'!E40</f>
        <v>#DIV/0!</v>
      </c>
      <c r="F265" s="308" t="e">
        <f>'Discounts - Future'!F40</f>
        <v>#DIV/0!</v>
      </c>
      <c r="G265" s="33"/>
    </row>
    <row r="266" spans="1:7" ht="13.5" customHeight="1">
      <c r="A266"/>
      <c r="B266" s="103" t="s">
        <v>139</v>
      </c>
      <c r="C266" s="405" t="e">
        <f>'Discounts - Future'!C41</f>
        <v>#DIV/0!</v>
      </c>
      <c r="D266" s="311" t="e">
        <f>'Discounts - Future'!D41</f>
        <v>#DIV/0!</v>
      </c>
      <c r="E266" s="311" t="e">
        <f>'Discounts - Future'!E41</f>
        <v>#DIV/0!</v>
      </c>
      <c r="F266" s="308" t="e">
        <f>'Discounts - Future'!F41</f>
        <v>#DIV/0!</v>
      </c>
      <c r="G266" s="33"/>
    </row>
    <row r="267" spans="1:7" ht="21" customHeight="1">
      <c r="A267"/>
      <c r="B267" s="103" t="s">
        <v>142</v>
      </c>
      <c r="C267" s="405">
        <f>'Discounts - Future'!C42</f>
        <v>0</v>
      </c>
      <c r="D267" s="311">
        <f>'Discounts - Future'!D42</f>
        <v>0</v>
      </c>
      <c r="E267" s="311">
        <f>'Discounts - Future'!E42</f>
        <v>0</v>
      </c>
      <c r="F267" s="308">
        <f>'Discounts - Future'!F42</f>
        <v>0</v>
      </c>
      <c r="G267" s="33"/>
    </row>
    <row r="268" spans="1:7" ht="20.25" customHeight="1">
      <c r="A268" s="25"/>
      <c r="B268" s="103" t="s">
        <v>170</v>
      </c>
      <c r="C268" s="405">
        <f>'Discounts - Future'!C43</f>
        <v>0</v>
      </c>
      <c r="D268" s="311">
        <f>'Discounts - Future'!D43</f>
        <v>0</v>
      </c>
      <c r="E268" s="311">
        <f>'Discounts - Future'!E43</f>
        <v>0</v>
      </c>
      <c r="F268" s="308">
        <f>'Discounts - Future'!F43</f>
        <v>0</v>
      </c>
      <c r="G268" s="33"/>
    </row>
    <row r="269" spans="1:7" ht="20.25" customHeight="1">
      <c r="A269" s="25"/>
      <c r="B269" s="103" t="s">
        <v>162</v>
      </c>
      <c r="C269" s="406">
        <f>'Discounts - Future'!C44</f>
        <v>0</v>
      </c>
      <c r="D269" s="313">
        <f>'Discounts - Future'!D44</f>
        <v>0</v>
      </c>
      <c r="E269" s="313">
        <f>'Discounts - Future'!E44</f>
        <v>0</v>
      </c>
      <c r="F269" s="407">
        <f>'Discounts - Future'!F44</f>
        <v>0</v>
      </c>
      <c r="G269" s="504"/>
    </row>
    <row r="270" spans="1:7" ht="26.25" customHeight="1">
      <c r="A270" s="25"/>
      <c r="B270" s="103" t="s">
        <v>163</v>
      </c>
      <c r="C270" s="406" t="e">
        <f>'Discounts - Future'!C45</f>
        <v>#DIV/0!</v>
      </c>
      <c r="D270" s="313" t="e">
        <f>'Discounts - Future'!D45</f>
        <v>#DIV/0!</v>
      </c>
      <c r="E270" s="313" t="e">
        <f>'Discounts - Future'!E45</f>
        <v>#DIV/0!</v>
      </c>
      <c r="F270" s="407" t="e">
        <f>'Discounts - Future'!F45</f>
        <v>#DIV/0!</v>
      </c>
      <c r="G270" s="504"/>
    </row>
    <row r="271" spans="1:6" ht="26.25" customHeight="1">
      <c r="A271" s="25"/>
      <c r="B271" s="103" t="s">
        <v>178</v>
      </c>
      <c r="C271" s="405" t="e">
        <f>'Discounts - Future'!C46</f>
        <v>#DIV/0!</v>
      </c>
      <c r="D271" s="405" t="e">
        <f>'Discounts - Future'!D46</f>
        <v>#DIV/0!</v>
      </c>
      <c r="E271" s="405" t="e">
        <f>'Discounts - Future'!E46</f>
        <v>#DIV/0!</v>
      </c>
      <c r="F271" s="405" t="e">
        <f>'Discounts - Future'!F46</f>
        <v>#DIV/0!</v>
      </c>
    </row>
    <row r="272" spans="1:6" ht="18.75" customHeight="1">
      <c r="A272" s="25"/>
      <c r="B272" s="103" t="s">
        <v>164</v>
      </c>
      <c r="C272" s="406">
        <f>'Discounts - Future'!C47</f>
        <v>0</v>
      </c>
      <c r="D272" s="313">
        <f>'Discounts - Future'!D47</f>
        <v>0</v>
      </c>
      <c r="E272" s="313">
        <f>'Discounts - Future'!E47</f>
        <v>0</v>
      </c>
      <c r="F272" s="407">
        <f>'Discounts - Future'!F47</f>
        <v>0</v>
      </c>
    </row>
    <row r="273" spans="1:6" ht="20.25" customHeight="1">
      <c r="A273" s="25"/>
      <c r="B273" s="103" t="s">
        <v>165</v>
      </c>
      <c r="C273" s="406">
        <f>'Discounts - Future'!C48</f>
        <v>0</v>
      </c>
      <c r="D273" s="313">
        <f>'Discounts - Future'!D48</f>
        <v>0</v>
      </c>
      <c r="E273" s="313">
        <f>'Discounts - Future'!E48</f>
        <v>0</v>
      </c>
      <c r="F273" s="407">
        <f>'Discounts - Future'!F48</f>
        <v>0</v>
      </c>
    </row>
    <row r="274" spans="1:6" ht="18" customHeight="1">
      <c r="A274" s="25"/>
      <c r="B274" s="103" t="s">
        <v>166</v>
      </c>
      <c r="C274" s="406">
        <f>'Discounts - Future'!C49</f>
        <v>0</v>
      </c>
      <c r="D274" s="313">
        <f>'Discounts - Future'!D49</f>
        <v>0</v>
      </c>
      <c r="E274" s="313">
        <f>'Discounts - Future'!E49</f>
        <v>0</v>
      </c>
      <c r="F274" s="407">
        <f>'Discounts - Future'!F49</f>
        <v>0</v>
      </c>
    </row>
    <row r="275" spans="1:6" ht="13.5" customHeight="1">
      <c r="A275" s="25"/>
      <c r="B275" s="103" t="s">
        <v>179</v>
      </c>
      <c r="C275" s="406">
        <f>'Discounts - Future'!C50</f>
        <v>0</v>
      </c>
      <c r="D275" s="313">
        <f>'Discounts - Future'!D50</f>
        <v>0</v>
      </c>
      <c r="E275" s="313">
        <f>'Discounts - Future'!E50</f>
        <v>0</v>
      </c>
      <c r="F275" s="407">
        <f>'Discounts - Future'!F50</f>
        <v>0</v>
      </c>
    </row>
    <row r="276" spans="1:6" ht="19.5" customHeight="1">
      <c r="A276" s="25"/>
      <c r="B276" s="103" t="s">
        <v>180</v>
      </c>
      <c r="C276" s="406">
        <f>'Discounts - Future'!C51</f>
        <v>0</v>
      </c>
      <c r="D276" s="313">
        <f>'Discounts - Future'!D51</f>
        <v>0</v>
      </c>
      <c r="E276" s="313">
        <f>'Discounts - Future'!E51</f>
        <v>0</v>
      </c>
      <c r="F276" s="407">
        <f>'Discounts - Future'!F51</f>
        <v>0</v>
      </c>
    </row>
    <row r="277" spans="1:6" ht="18" customHeight="1">
      <c r="A277" s="25"/>
      <c r="B277" s="103" t="s">
        <v>173</v>
      </c>
      <c r="C277" s="406" t="e">
        <f>'Discounts - Future'!C52</f>
        <v>#DIV/0!</v>
      </c>
      <c r="D277" s="313" t="e">
        <f>'Discounts - Future'!D52</f>
        <v>#DIV/0!</v>
      </c>
      <c r="E277" s="313" t="e">
        <f>'Discounts - Future'!E52</f>
        <v>#DIV/0!</v>
      </c>
      <c r="F277" s="407">
        <f>'Discounts - Future'!F52</f>
        <v>0</v>
      </c>
    </row>
    <row r="278" spans="1:6" ht="18" customHeight="1" thickBot="1">
      <c r="A278" s="25"/>
      <c r="B278" s="747" t="s">
        <v>323</v>
      </c>
      <c r="C278" s="408">
        <f>'Discounts - Future'!C53</f>
        <v>0</v>
      </c>
      <c r="D278" s="409">
        <f>'Discounts - Future'!D53</f>
        <v>0</v>
      </c>
      <c r="E278" s="409">
        <f>'Discounts - Future'!E53</f>
        <v>0</v>
      </c>
      <c r="F278" s="410">
        <f>'Discounts - Future'!F53</f>
        <v>0</v>
      </c>
    </row>
    <row r="279" spans="2:6" ht="14.25" customHeight="1" thickBot="1" thickTop="1">
      <c r="B279" s="17" t="s">
        <v>160</v>
      </c>
      <c r="C279" s="411" t="e">
        <f>SUM(C258:C278)</f>
        <v>#DIV/0!</v>
      </c>
      <c r="D279" s="412" t="e">
        <f>SUM(D258:D278)</f>
        <v>#DIV/0!</v>
      </c>
      <c r="E279" s="412" t="e">
        <f>SUM(E258:E278)</f>
        <v>#DIV/0!</v>
      </c>
      <c r="F279" s="413" t="e">
        <f>SUM(F258:F278)</f>
        <v>#DIV/0!</v>
      </c>
    </row>
    <row r="280" spans="2:9" s="365" customFormat="1" ht="13.5" thickTop="1">
      <c r="B280" s="501"/>
      <c r="C280" s="370"/>
      <c r="D280" s="370"/>
      <c r="E280" s="370"/>
      <c r="F280" s="370"/>
      <c r="H280" s="377"/>
      <c r="I280" s="377"/>
    </row>
    <row r="281" spans="1:7" s="365" customFormat="1" ht="12.75">
      <c r="A281" s="371"/>
      <c r="B281" s="370"/>
      <c r="C281" s="370"/>
      <c r="D281" s="370"/>
      <c r="E281" s="370"/>
      <c r="F281" s="370"/>
      <c r="G281" s="370"/>
    </row>
    <row r="282" spans="1:7" s="365" customFormat="1" ht="12.75">
      <c r="A282" s="371"/>
      <c r="B282" s="370"/>
      <c r="C282" s="370"/>
      <c r="D282" s="370"/>
      <c r="E282" s="370"/>
      <c r="F282" s="370"/>
      <c r="G282" s="370"/>
    </row>
    <row r="283" s="365" customFormat="1" ht="13.5" thickBot="1"/>
    <row r="284" spans="2:6" ht="21.75" thickBot="1" thickTop="1">
      <c r="B284" s="595" t="s">
        <v>364</v>
      </c>
      <c r="C284" s="611"/>
      <c r="D284" s="611"/>
      <c r="E284" s="611"/>
      <c r="F284" s="597"/>
    </row>
    <row r="285" spans="1:8" ht="13.5" thickBot="1">
      <c r="A285"/>
      <c r="B285" s="612"/>
      <c r="C285" s="610" t="s">
        <v>157</v>
      </c>
      <c r="D285" s="610" t="s">
        <v>156</v>
      </c>
      <c r="E285" s="610" t="s">
        <v>155</v>
      </c>
      <c r="F285" s="613" t="s">
        <v>154</v>
      </c>
      <c r="G285"/>
      <c r="H285" s="30"/>
    </row>
    <row r="286" spans="2:6" ht="12.75">
      <c r="B286" s="614"/>
      <c r="C286" s="615"/>
      <c r="D286" s="599"/>
      <c r="E286" s="599"/>
      <c r="F286" s="600"/>
    </row>
    <row r="287" spans="2:6" ht="12.75">
      <c r="B287" s="616" t="s">
        <v>104</v>
      </c>
      <c r="C287" s="617">
        <f>C258-'Existing Management Practices'!C129</f>
        <v>0</v>
      </c>
      <c r="D287" s="602">
        <f>D258-'Existing Management Practices'!D129</f>
        <v>0</v>
      </c>
      <c r="E287" s="602">
        <f>E258-'Existing Management Practices'!E129</f>
        <v>0</v>
      </c>
      <c r="F287" s="603">
        <f>F258-'Existing Management Practices'!F129</f>
        <v>0</v>
      </c>
    </row>
    <row r="288" spans="2:6" ht="12.75">
      <c r="B288" s="616" t="s">
        <v>105</v>
      </c>
      <c r="C288" s="617">
        <f>C259-'Existing Management Practices'!C130</f>
        <v>0</v>
      </c>
      <c r="D288" s="602">
        <f>D259-'Existing Management Practices'!D130</f>
        <v>0</v>
      </c>
      <c r="E288" s="602">
        <f>E259-'Existing Management Practices'!E130</f>
        <v>0</v>
      </c>
      <c r="F288" s="603">
        <f>F259-'Existing Management Practices'!F130</f>
        <v>0</v>
      </c>
    </row>
    <row r="289" spans="2:6" ht="12.75">
      <c r="B289" s="616" t="s">
        <v>114</v>
      </c>
      <c r="C289" s="617">
        <f>C260-'Existing Management Practices'!C131</f>
        <v>0</v>
      </c>
      <c r="D289" s="602">
        <f>D260-'Existing Management Practices'!D131</f>
        <v>0</v>
      </c>
      <c r="E289" s="602">
        <f>E260-'Existing Management Practices'!E131</f>
        <v>0</v>
      </c>
      <c r="F289" s="603">
        <f>F260-'Existing Management Practices'!F131</f>
        <v>0</v>
      </c>
    </row>
    <row r="290" spans="2:6" ht="12.75">
      <c r="B290" s="616" t="s">
        <v>84</v>
      </c>
      <c r="C290" s="617">
        <f>C261-'Existing Management Practices'!C132</f>
        <v>0</v>
      </c>
      <c r="D290" s="602">
        <f>D261-'Existing Management Practices'!D132</f>
        <v>0</v>
      </c>
      <c r="E290" s="602">
        <f>E261-'Existing Management Practices'!E132</f>
        <v>0</v>
      </c>
      <c r="F290" s="603">
        <f>F261-'Existing Management Practices'!F132</f>
        <v>0</v>
      </c>
    </row>
    <row r="291" spans="2:6" ht="12.75">
      <c r="B291" s="616" t="s">
        <v>220</v>
      </c>
      <c r="C291" s="617">
        <f>C262-'Existing Management Practices'!C133</f>
        <v>0</v>
      </c>
      <c r="D291" s="602">
        <f>D262-'Existing Management Practices'!D133</f>
        <v>0</v>
      </c>
      <c r="E291" s="602" t="e">
        <f>E262-'Existing Management Practices'!E133</f>
        <v>#DIV/0!</v>
      </c>
      <c r="F291" s="603">
        <f>F262-'Existing Management Practices'!F133</f>
        <v>0</v>
      </c>
    </row>
    <row r="292" spans="2:6" ht="12.75">
      <c r="B292" s="616" t="s">
        <v>85</v>
      </c>
      <c r="C292" s="617" t="e">
        <f>C263-'Existing Management Practices'!C134</f>
        <v>#DIV/0!</v>
      </c>
      <c r="D292" s="602" t="e">
        <f>D263-'Existing Management Practices'!D134</f>
        <v>#DIV/0!</v>
      </c>
      <c r="E292" s="602" t="e">
        <f>E263-'Existing Management Practices'!E134</f>
        <v>#DIV/0!</v>
      </c>
      <c r="F292" s="603" t="e">
        <f>F263-'Existing Management Practices'!F134</f>
        <v>#DIV/0!</v>
      </c>
    </row>
    <row r="293" spans="1:7" ht="12.75">
      <c r="A293"/>
      <c r="B293" s="616" t="s">
        <v>127</v>
      </c>
      <c r="C293" s="617" t="e">
        <f>C264-'Existing Management Practices'!C135</f>
        <v>#DIV/0!</v>
      </c>
      <c r="D293" s="602" t="e">
        <f>D264-'Existing Management Practices'!D135</f>
        <v>#DIV/0!</v>
      </c>
      <c r="E293" s="602" t="e">
        <f>E264-'Existing Management Practices'!E135</f>
        <v>#DIV/0!</v>
      </c>
      <c r="F293" s="603" t="e">
        <f>F264-'Existing Management Practices'!F135</f>
        <v>#DIV/0!</v>
      </c>
      <c r="G293"/>
    </row>
    <row r="294" spans="1:7" ht="13.5" customHeight="1">
      <c r="A294"/>
      <c r="B294" s="616" t="s">
        <v>86</v>
      </c>
      <c r="C294" s="617" t="e">
        <f>C265-'Existing Management Practices'!C136</f>
        <v>#DIV/0!</v>
      </c>
      <c r="D294" s="602" t="e">
        <f>D265-'Existing Management Practices'!D136</f>
        <v>#DIV/0!</v>
      </c>
      <c r="E294" s="602" t="e">
        <f>E265-'Existing Management Practices'!E136</f>
        <v>#DIV/0!</v>
      </c>
      <c r="F294" s="603" t="e">
        <f>F265-'Existing Management Practices'!F136</f>
        <v>#DIV/0!</v>
      </c>
      <c r="G294"/>
    </row>
    <row r="295" spans="1:7" ht="12.75">
      <c r="A295"/>
      <c r="B295" s="616" t="s">
        <v>139</v>
      </c>
      <c r="C295" s="617" t="e">
        <f>C266-'Existing Management Practices'!C137</f>
        <v>#DIV/0!</v>
      </c>
      <c r="D295" s="602" t="e">
        <f>D266-'Existing Management Practices'!D137</f>
        <v>#DIV/0!</v>
      </c>
      <c r="E295" s="602" t="e">
        <f>E266-'Existing Management Practices'!E137</f>
        <v>#DIV/0!</v>
      </c>
      <c r="F295" s="603" t="e">
        <f>F266-'Existing Management Practices'!F137</f>
        <v>#DIV/0!</v>
      </c>
      <c r="G295"/>
    </row>
    <row r="296" spans="1:7" ht="12.75">
      <c r="A296"/>
      <c r="B296" s="616" t="s">
        <v>142</v>
      </c>
      <c r="C296" s="617">
        <f>C267-'Existing Management Practices'!C138</f>
        <v>0</v>
      </c>
      <c r="D296" s="602">
        <f>D267-'Existing Management Practices'!D138</f>
        <v>0</v>
      </c>
      <c r="E296" s="602">
        <f>E267-'Existing Management Practices'!E138</f>
        <v>0</v>
      </c>
      <c r="F296" s="603">
        <f>F267-'Existing Management Practices'!F138</f>
        <v>0</v>
      </c>
      <c r="G296"/>
    </row>
    <row r="297" spans="1:7" ht="12.75">
      <c r="A297"/>
      <c r="B297" s="616" t="s">
        <v>170</v>
      </c>
      <c r="C297" s="617">
        <f aca="true" t="shared" si="0" ref="C297:F304">C268</f>
        <v>0</v>
      </c>
      <c r="D297" s="602">
        <f t="shared" si="0"/>
        <v>0</v>
      </c>
      <c r="E297" s="602">
        <f t="shared" si="0"/>
        <v>0</v>
      </c>
      <c r="F297" s="603">
        <f t="shared" si="0"/>
        <v>0</v>
      </c>
      <c r="G297"/>
    </row>
    <row r="298" spans="1:7" ht="12.75">
      <c r="A298"/>
      <c r="B298" s="616" t="s">
        <v>162</v>
      </c>
      <c r="C298" s="618">
        <f t="shared" si="0"/>
        <v>0</v>
      </c>
      <c r="D298" s="619">
        <f t="shared" si="0"/>
        <v>0</v>
      </c>
      <c r="E298" s="619">
        <f t="shared" si="0"/>
        <v>0</v>
      </c>
      <c r="F298" s="620">
        <f t="shared" si="0"/>
        <v>0</v>
      </c>
      <c r="G298"/>
    </row>
    <row r="299" spans="1:7" ht="12.75">
      <c r="A299"/>
      <c r="B299" s="616" t="s">
        <v>163</v>
      </c>
      <c r="C299" s="618" t="e">
        <f t="shared" si="0"/>
        <v>#DIV/0!</v>
      </c>
      <c r="D299" s="619" t="e">
        <f>D270</f>
        <v>#DIV/0!</v>
      </c>
      <c r="E299" s="619" t="e">
        <f t="shared" si="0"/>
        <v>#DIV/0!</v>
      </c>
      <c r="F299" s="620" t="e">
        <f t="shared" si="0"/>
        <v>#DIV/0!</v>
      </c>
      <c r="G299"/>
    </row>
    <row r="300" spans="1:7" ht="12.75">
      <c r="A300"/>
      <c r="B300" s="616" t="s">
        <v>178</v>
      </c>
      <c r="C300" s="618" t="e">
        <f t="shared" si="0"/>
        <v>#DIV/0!</v>
      </c>
      <c r="D300" s="619" t="e">
        <f t="shared" si="0"/>
        <v>#DIV/0!</v>
      </c>
      <c r="E300" s="619" t="e">
        <f t="shared" si="0"/>
        <v>#DIV/0!</v>
      </c>
      <c r="F300" s="620" t="e">
        <f t="shared" si="0"/>
        <v>#DIV/0!</v>
      </c>
      <c r="G300"/>
    </row>
    <row r="301" spans="1:7" ht="12.75">
      <c r="A301"/>
      <c r="B301" s="616" t="s">
        <v>164</v>
      </c>
      <c r="C301" s="618">
        <f t="shared" si="0"/>
        <v>0</v>
      </c>
      <c r="D301" s="619">
        <f t="shared" si="0"/>
        <v>0</v>
      </c>
      <c r="E301" s="619">
        <f t="shared" si="0"/>
        <v>0</v>
      </c>
      <c r="F301" s="620">
        <f t="shared" si="0"/>
        <v>0</v>
      </c>
      <c r="G301"/>
    </row>
    <row r="302" spans="1:7" ht="13.5" customHeight="1">
      <c r="A302"/>
      <c r="B302" s="616" t="s">
        <v>165</v>
      </c>
      <c r="C302" s="618">
        <f t="shared" si="0"/>
        <v>0</v>
      </c>
      <c r="D302" s="619">
        <f t="shared" si="0"/>
        <v>0</v>
      </c>
      <c r="E302" s="619">
        <f t="shared" si="0"/>
        <v>0</v>
      </c>
      <c r="F302" s="620">
        <f t="shared" si="0"/>
        <v>0</v>
      </c>
      <c r="G302"/>
    </row>
    <row r="303" spans="2:6" ht="12.75">
      <c r="B303" s="616" t="s">
        <v>166</v>
      </c>
      <c r="C303" s="618">
        <f t="shared" si="0"/>
        <v>0</v>
      </c>
      <c r="D303" s="619">
        <f t="shared" si="0"/>
        <v>0</v>
      </c>
      <c r="E303" s="619">
        <f t="shared" si="0"/>
        <v>0</v>
      </c>
      <c r="F303" s="620">
        <f t="shared" si="0"/>
        <v>0</v>
      </c>
    </row>
    <row r="304" spans="2:6" ht="12.75">
      <c r="B304" s="616" t="s">
        <v>179</v>
      </c>
      <c r="C304" s="618">
        <f t="shared" si="0"/>
        <v>0</v>
      </c>
      <c r="D304" s="619">
        <f t="shared" si="0"/>
        <v>0</v>
      </c>
      <c r="E304" s="619">
        <f t="shared" si="0"/>
        <v>0</v>
      </c>
      <c r="F304" s="620">
        <f t="shared" si="0"/>
        <v>0</v>
      </c>
    </row>
    <row r="305" spans="1:7" ht="14.25" customHeight="1">
      <c r="A305"/>
      <c r="B305" s="616" t="s">
        <v>180</v>
      </c>
      <c r="C305" s="618">
        <f aca="true" t="shared" si="1" ref="C305:F306">C276</f>
        <v>0</v>
      </c>
      <c r="D305" s="619">
        <f t="shared" si="1"/>
        <v>0</v>
      </c>
      <c r="E305" s="619">
        <f t="shared" si="1"/>
        <v>0</v>
      </c>
      <c r="F305" s="620">
        <f t="shared" si="1"/>
        <v>0</v>
      </c>
      <c r="G305"/>
    </row>
    <row r="306" spans="1:7" ht="15" customHeight="1">
      <c r="A306"/>
      <c r="B306" s="616" t="s">
        <v>173</v>
      </c>
      <c r="C306" s="618" t="e">
        <f t="shared" si="1"/>
        <v>#DIV/0!</v>
      </c>
      <c r="D306" s="619" t="e">
        <f t="shared" si="1"/>
        <v>#DIV/0!</v>
      </c>
      <c r="E306" s="619" t="e">
        <f t="shared" si="1"/>
        <v>#DIV/0!</v>
      </c>
      <c r="F306" s="620">
        <f t="shared" si="1"/>
        <v>0</v>
      </c>
      <c r="G306"/>
    </row>
    <row r="307" spans="1:7" ht="18" customHeight="1" thickBot="1">
      <c r="A307" s="25"/>
      <c r="B307" s="748" t="s">
        <v>323</v>
      </c>
      <c r="C307" s="750">
        <f>'Discounts - Future'!C83</f>
        <v>0</v>
      </c>
      <c r="D307" s="751">
        <f>'Discounts - Future'!D83</f>
        <v>0</v>
      </c>
      <c r="E307" s="751">
        <f>'Discounts - Future'!E83</f>
        <v>0</v>
      </c>
      <c r="F307" s="752">
        <f>'Discounts - Future'!F83</f>
        <v>0</v>
      </c>
      <c r="G307"/>
    </row>
    <row r="308" spans="2:6" ht="14.25" customHeight="1" thickBot="1">
      <c r="B308" s="749" t="s">
        <v>160</v>
      </c>
      <c r="C308" s="753" t="e">
        <f>SUM(C288:C307)</f>
        <v>#DIV/0!</v>
      </c>
      <c r="D308" s="608" t="e">
        <f>SUM(D288:D307)</f>
        <v>#DIV/0!</v>
      </c>
      <c r="E308" s="608" t="e">
        <f>SUM(E288:E307)</f>
        <v>#DIV/0!</v>
      </c>
      <c r="F308" s="609" t="e">
        <f>SUM(F288:F307)</f>
        <v>#DIV/0!</v>
      </c>
    </row>
    <row r="309" s="370" customFormat="1" ht="12.75" customHeight="1" thickTop="1">
      <c r="A309" s="371"/>
    </row>
    <row r="310" s="370" customFormat="1" ht="12.75" customHeight="1">
      <c r="A310" s="371"/>
    </row>
    <row r="311" s="370" customFormat="1" ht="12.75" customHeight="1">
      <c r="A311" s="371"/>
    </row>
    <row r="312" s="370" customFormat="1" ht="12.75" customHeight="1">
      <c r="A312" s="371"/>
    </row>
    <row r="313" s="370" customFormat="1" ht="12.75" customHeight="1">
      <c r="A313" s="371"/>
    </row>
    <row r="314" s="370" customFormat="1" ht="12.75" customHeight="1">
      <c r="A314" s="371"/>
    </row>
    <row r="315" s="370" customFormat="1" ht="12.75" customHeight="1">
      <c r="A315" s="371"/>
    </row>
    <row r="316" s="370" customFormat="1" ht="12.75" customHeight="1">
      <c r="A316" s="371"/>
    </row>
    <row r="317" s="370" customFormat="1" ht="12.75" customHeight="1">
      <c r="A317" s="371"/>
    </row>
    <row r="318" s="370" customFormat="1" ht="12.75" customHeight="1">
      <c r="A318" s="371"/>
    </row>
    <row r="319" s="370" customFormat="1" ht="12.75" customHeight="1">
      <c r="A319" s="371"/>
    </row>
    <row r="320" s="370" customFormat="1" ht="12.75" customHeight="1">
      <c r="A320" s="371"/>
    </row>
    <row r="321" s="370" customFormat="1" ht="12.75" customHeight="1">
      <c r="A321" s="371"/>
    </row>
    <row r="322" s="370" customFormat="1" ht="12.75" customHeight="1">
      <c r="A322" s="371"/>
    </row>
    <row r="323" s="370" customFormat="1" ht="12.75" customHeight="1">
      <c r="A323" s="371"/>
    </row>
    <row r="324" s="370" customFormat="1" ht="12.75" customHeight="1">
      <c r="A324" s="371"/>
    </row>
    <row r="325" s="370" customFormat="1" ht="12.75" customHeight="1">
      <c r="A325" s="371"/>
    </row>
    <row r="326" s="370" customFormat="1" ht="12.75" customHeight="1">
      <c r="A326" s="371"/>
    </row>
    <row r="327" s="370" customFormat="1" ht="12.75" customHeight="1">
      <c r="A327" s="371"/>
    </row>
    <row r="328" s="370" customFormat="1" ht="12.75" customHeight="1">
      <c r="A328" s="371"/>
    </row>
    <row r="329" s="370" customFormat="1" ht="12.75" customHeight="1">
      <c r="A329" s="371"/>
    </row>
    <row r="330" s="370" customFormat="1" ht="12.75" customHeight="1">
      <c r="A330" s="371"/>
    </row>
    <row r="331" s="370" customFormat="1" ht="12.75" customHeight="1">
      <c r="A331" s="371"/>
    </row>
    <row r="332" s="370" customFormat="1" ht="12.75" customHeight="1">
      <c r="A332" s="371"/>
    </row>
    <row r="333" s="370" customFormat="1" ht="12.75" customHeight="1">
      <c r="A333" s="371"/>
    </row>
    <row r="334" s="370" customFormat="1" ht="12.75" customHeight="1">
      <c r="A334" s="371"/>
    </row>
    <row r="335" s="370" customFormat="1" ht="12.75" customHeight="1">
      <c r="A335" s="371"/>
    </row>
    <row r="336" s="370" customFormat="1" ht="12.75" customHeight="1">
      <c r="A336" s="371"/>
    </row>
    <row r="337" s="370" customFormat="1" ht="12.75" customHeight="1">
      <c r="A337" s="371"/>
    </row>
    <row r="338" s="370" customFormat="1" ht="12.75" customHeight="1">
      <c r="A338" s="371"/>
    </row>
    <row r="339" s="370" customFormat="1" ht="12.75" customHeight="1">
      <c r="A339" s="371"/>
    </row>
    <row r="340" s="370" customFormat="1" ht="12.75" customHeight="1">
      <c r="A340" s="371"/>
    </row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D90"/>
  <sheetViews>
    <sheetView workbookViewId="0" topLeftCell="A10">
      <selection activeCell="D9" sqref="D9"/>
    </sheetView>
  </sheetViews>
  <sheetFormatPr defaultColWidth="9.140625" defaultRowHeight="12.75"/>
  <cols>
    <col min="2" max="2" width="19.57421875" style="0" customWidth="1"/>
    <col min="3" max="3" width="29.140625" style="0" customWidth="1"/>
    <col min="4" max="4" width="13.421875" style="0" customWidth="1"/>
  </cols>
  <sheetData>
    <row r="1" ht="13.5" thickBot="1"/>
    <row r="2" spans="2:4" ht="21" thickTop="1">
      <c r="B2" s="435" t="s">
        <v>366</v>
      </c>
      <c r="C2" s="420"/>
      <c r="D2" s="875"/>
    </row>
    <row r="3" spans="2:4" ht="12.75">
      <c r="B3" s="431"/>
      <c r="C3" s="377"/>
      <c r="D3" s="729"/>
    </row>
    <row r="4" spans="2:4" ht="12.75">
      <c r="B4" s="431"/>
      <c r="C4" s="377"/>
      <c r="D4" s="729" t="s">
        <v>25</v>
      </c>
    </row>
    <row r="5" spans="2:4" ht="13.5" thickBot="1">
      <c r="B5" s="431"/>
      <c r="C5" s="377"/>
      <c r="D5" s="713" t="s">
        <v>26</v>
      </c>
    </row>
    <row r="6" spans="2:4" ht="12.75">
      <c r="B6" s="41"/>
      <c r="C6" s="82"/>
      <c r="D6" s="1007"/>
    </row>
    <row r="7" spans="2:4" ht="12.75">
      <c r="B7" s="78" t="str">
        <f>IF('Primary Sources'!B11&gt;0,'Primary Sources'!B11,"")</f>
        <v>Residential</v>
      </c>
      <c r="C7" s="84" t="str">
        <f>IF('Primary Sources'!C11&gt;0,'Primary Sources'!C11,"")</f>
        <v>LDR (&lt;1du/acre)</v>
      </c>
      <c r="D7" s="1008"/>
    </row>
    <row r="8" spans="2:4" ht="12.75">
      <c r="B8" s="78">
        <f>IF('Primary Sources'!B12&gt;0,'Primary Sources'!B12,"")</f>
      </c>
      <c r="C8" s="84" t="str">
        <f>IF('Primary Sources'!C12&gt;0,'Primary Sources'!C12,"")</f>
        <v>MDR (1-4 du/acre)</v>
      </c>
      <c r="D8" s="1007"/>
    </row>
    <row r="9" spans="2:4" ht="12.75">
      <c r="B9" s="78">
        <f>IF('Primary Sources'!B13&gt;0,'Primary Sources'!B13,"")</f>
      </c>
      <c r="C9" s="84" t="str">
        <f>IF('Primary Sources'!C13&gt;0,'Primary Sources'!C13,"")</f>
        <v>HDR (&gt;4 du/acre)</v>
      </c>
      <c r="D9" s="1008"/>
    </row>
    <row r="10" spans="2:4" ht="12.75">
      <c r="B10" s="78">
        <f>IF('Primary Sources'!B14&gt;0,'Primary Sources'!B14,"")</f>
      </c>
      <c r="C10" s="84" t="str">
        <f>IF('Primary Sources'!C14&gt;0,'Primary Sources'!C14,"")</f>
        <v>Multifamily</v>
      </c>
      <c r="D10" s="1007"/>
    </row>
    <row r="11" spans="2:4" ht="12.75">
      <c r="B11" s="78">
        <f>IF('Primary Sources'!B15&gt;0,'Primary Sources'!B15,"")</f>
      </c>
      <c r="C11" s="84">
        <f>IF('Primary Sources'!C15&gt;0,'Primary Sources'!C15,"")</f>
      </c>
      <c r="D11" s="1008"/>
    </row>
    <row r="12" spans="2:4" ht="12.75">
      <c r="B12" s="78">
        <f>IF('Primary Sources'!B16&gt;0,'Primary Sources'!B16,"")</f>
      </c>
      <c r="C12" s="84">
        <f>IF('Primary Sources'!C16&gt;0,'Primary Sources'!C16,"")</f>
      </c>
      <c r="D12" s="1007"/>
    </row>
    <row r="13" spans="2:4" ht="12.75">
      <c r="B13" s="78">
        <f>IF('Primary Sources'!B17&gt;0,'Primary Sources'!B17,"")</f>
      </c>
      <c r="C13" s="84">
        <f>IF('Primary Sources'!C17&gt;0,'Primary Sources'!C17,"")</f>
      </c>
      <c r="D13" s="1008"/>
    </row>
    <row r="14" spans="2:4" ht="12.75">
      <c r="B14" s="78">
        <f>IF('Primary Sources'!B18&gt;0,'Primary Sources'!B18,"")</f>
      </c>
      <c r="C14" s="84">
        <f>IF('Primary Sources'!C18&gt;0,'Primary Sources'!C18,"")</f>
      </c>
      <c r="D14" s="1007"/>
    </row>
    <row r="15" spans="2:4" ht="12.75">
      <c r="B15" s="78">
        <f>IF('Primary Sources'!B19&gt;0,'Primary Sources'!B19,"")</f>
      </c>
      <c r="C15" s="84">
        <f>IF('Primary Sources'!C19&gt;0,'Primary Sources'!C19,"")</f>
      </c>
      <c r="D15" s="1008"/>
    </row>
    <row r="16" spans="2:4" ht="13.5" thickBot="1">
      <c r="B16" s="131">
        <f>IF('Primary Sources'!B20&gt;0,'Primary Sources'!B20,"")</f>
      </c>
      <c r="C16" s="193">
        <f>IF('Primary Sources'!C20&gt;0,'Primary Sources'!C20,"")</f>
      </c>
      <c r="D16" s="1007"/>
    </row>
    <row r="17" spans="2:4" ht="12.75">
      <c r="B17" s="41" t="str">
        <f>IF('Primary Sources'!B21&gt;0,'Primary Sources'!B21,"")</f>
        <v>Commercial</v>
      </c>
      <c r="C17" s="82">
        <f>IF('Primary Sources'!C21&gt;0,'Primary Sources'!C21,"")</f>
      </c>
      <c r="D17" s="1008"/>
    </row>
    <row r="18" spans="2:4" ht="12.75">
      <c r="B18" s="78">
        <f>IF('Primary Sources'!B22&gt;0,'Primary Sources'!B22,"")</f>
      </c>
      <c r="C18" s="84">
        <f>IF('Primary Sources'!C22&gt;0,'Primary Sources'!C22,"")</f>
      </c>
      <c r="D18" s="1007"/>
    </row>
    <row r="19" spans="2:4" ht="12.75">
      <c r="B19" s="78">
        <f>IF('Primary Sources'!B23&gt;0,'Primary Sources'!B23,"")</f>
      </c>
      <c r="C19" s="84">
        <f>IF('Primary Sources'!C23&gt;0,'Primary Sources'!C23,"")</f>
      </c>
      <c r="D19" s="1008"/>
    </row>
    <row r="20" spans="2:4" ht="12.75">
      <c r="B20" s="78">
        <f>IF('Primary Sources'!B24&gt;0,'Primary Sources'!B24,"")</f>
      </c>
      <c r="C20" s="84">
        <f>IF('Primary Sources'!C24&gt;0,'Primary Sources'!C24,"")</f>
      </c>
      <c r="D20" s="1007"/>
    </row>
    <row r="21" spans="2:4" ht="13.5" thickBot="1">
      <c r="B21" s="131">
        <f>IF('Primary Sources'!B25&gt;0,'Primary Sources'!B25,"")</f>
      </c>
      <c r="C21" s="193">
        <f>IF('Primary Sources'!C25&gt;0,'Primary Sources'!C25,"")</f>
      </c>
      <c r="D21" s="1008"/>
    </row>
    <row r="22" spans="2:4" ht="12.75">
      <c r="B22" s="41" t="str">
        <f>IF('Primary Sources'!B26&gt;0,'Primary Sources'!B26,"")</f>
        <v>Roadway</v>
      </c>
      <c r="C22" s="82">
        <f>IF('Primary Sources'!C26&gt;0,'Primary Sources'!C26,"")</f>
      </c>
      <c r="D22" s="1007"/>
    </row>
    <row r="23" spans="2:4" ht="12.75">
      <c r="B23" s="78">
        <f>IF('Primary Sources'!B27&gt;0,'Primary Sources'!B27,"")</f>
      </c>
      <c r="C23" s="84">
        <f>IF('Primary Sources'!C27&gt;0,'Primary Sources'!C27,"")</f>
      </c>
      <c r="D23" s="1008"/>
    </row>
    <row r="24" spans="2:4" ht="12.75">
      <c r="B24" s="78">
        <f>IF('Primary Sources'!B28&gt;0,'Primary Sources'!B28,"")</f>
      </c>
      <c r="C24" s="84">
        <f>IF('Primary Sources'!C28&gt;0,'Primary Sources'!C28,"")</f>
      </c>
      <c r="D24" s="1007"/>
    </row>
    <row r="25" spans="2:4" ht="12.75">
      <c r="B25" s="78">
        <f>IF('Primary Sources'!B29&gt;0,'Primary Sources'!B29,"")</f>
      </c>
      <c r="C25" s="84">
        <f>IF('Primary Sources'!C29&gt;0,'Primary Sources'!C29,"")</f>
      </c>
      <c r="D25" s="1008"/>
    </row>
    <row r="26" spans="2:4" ht="13.5" thickBot="1">
      <c r="B26" s="131">
        <f>IF('Primary Sources'!B30&gt;0,'Primary Sources'!B30,"")</f>
      </c>
      <c r="C26" s="193">
        <f>IF('Primary Sources'!C30&gt;0,'Primary Sources'!C30,"")</f>
      </c>
      <c r="D26" s="1007"/>
    </row>
    <row r="27" spans="2:4" ht="12.75">
      <c r="B27" s="41" t="str">
        <f>IF('Primary Sources'!B31&gt;0,'Primary Sources'!B31,"")</f>
        <v>Industrial</v>
      </c>
      <c r="C27" s="82">
        <f>IF('Primary Sources'!C31&gt;0,'Primary Sources'!C31,"")</f>
      </c>
      <c r="D27" s="1008"/>
    </row>
    <row r="28" spans="2:4" ht="12.75">
      <c r="B28" s="78">
        <f>IF('Primary Sources'!B32&gt;0,'Primary Sources'!B32,"")</f>
      </c>
      <c r="C28" s="84">
        <f>IF('Primary Sources'!C32&gt;0,'Primary Sources'!C32,"")</f>
      </c>
      <c r="D28" s="1007"/>
    </row>
    <row r="29" spans="2:4" ht="12.75">
      <c r="B29" s="78">
        <f>IF('Primary Sources'!B33&gt;0,'Primary Sources'!B33,"")</f>
      </c>
      <c r="C29" s="84">
        <f>IF('Primary Sources'!C33&gt;0,'Primary Sources'!C33,"")</f>
      </c>
      <c r="D29" s="1008"/>
    </row>
    <row r="30" spans="2:4" ht="12.75">
      <c r="B30" s="78">
        <f>IF('Primary Sources'!B34&gt;0,'Primary Sources'!B34,"")</f>
      </c>
      <c r="C30" s="84">
        <f>IF('Primary Sources'!C34&gt;0,'Primary Sources'!C34,"")</f>
      </c>
      <c r="D30" s="1007"/>
    </row>
    <row r="31" spans="2:4" ht="13.5" thickBot="1">
      <c r="B31" s="131">
        <f>IF('Primary Sources'!B35&gt;0,'Primary Sources'!B35,"")</f>
      </c>
      <c r="C31" s="193">
        <f>IF('Primary Sources'!C35&gt;0,'Primary Sources'!C35,"")</f>
      </c>
      <c r="D31" s="1008"/>
    </row>
    <row r="32" spans="2:4" ht="12.75">
      <c r="B32" s="41" t="str">
        <f>IF('Primary Sources'!B36&gt;0,'Primary Sources'!B36,"")</f>
        <v>Forest</v>
      </c>
      <c r="C32" s="82">
        <f>IF('Primary Sources'!C36&gt;0,'Primary Sources'!C36,"")</f>
      </c>
      <c r="D32" s="1007"/>
    </row>
    <row r="33" spans="2:4" ht="12.75">
      <c r="B33" s="78">
        <f>IF('Primary Sources'!B37&gt;0,'Primary Sources'!B37,"")</f>
      </c>
      <c r="C33" s="84">
        <f>IF('Primary Sources'!C37&gt;0,'Primary Sources'!C37,"")</f>
      </c>
      <c r="D33" s="1008"/>
    </row>
    <row r="34" spans="2:4" ht="12.75">
      <c r="B34" s="78">
        <f>IF('Primary Sources'!B38&gt;0,'Primary Sources'!B38,"")</f>
      </c>
      <c r="C34" s="84">
        <f>IF('Primary Sources'!C38&gt;0,'Primary Sources'!C38,"")</f>
      </c>
      <c r="D34" s="1007"/>
    </row>
    <row r="35" spans="2:4" ht="12.75">
      <c r="B35" s="78">
        <f>IF('Primary Sources'!B39&gt;0,'Primary Sources'!B39,"")</f>
      </c>
      <c r="C35" s="84">
        <f>IF('Primary Sources'!C39&gt;0,'Primary Sources'!C39,"")</f>
      </c>
      <c r="D35" s="1008"/>
    </row>
    <row r="36" spans="2:4" ht="13.5" thickBot="1">
      <c r="B36" s="131">
        <f>IF('Primary Sources'!B40&gt;0,'Primary Sources'!B40,"")</f>
      </c>
      <c r="C36" s="193">
        <f>IF('Primary Sources'!C40&gt;0,'Primary Sources'!C40,"")</f>
      </c>
      <c r="D36" s="1007"/>
    </row>
    <row r="37" spans="2:4" ht="12.75">
      <c r="B37" s="41" t="str">
        <f>IF('Primary Sources'!B41&gt;0,'Primary Sources'!B41,"")</f>
        <v>Rural</v>
      </c>
      <c r="C37" s="82">
        <f>IF('Primary Sources'!C41&gt;0,'Primary Sources'!C41,"")</f>
      </c>
      <c r="D37" s="1008"/>
    </row>
    <row r="38" spans="2:4" ht="12.75">
      <c r="B38" s="144">
        <f>IF('Primary Sources'!B42&gt;0,'Primary Sources'!B42,"")</f>
      </c>
      <c r="C38" s="186">
        <f>IF('Primary Sources'!C42&gt;0,'Primary Sources'!C42,"")</f>
      </c>
      <c r="D38" s="1007"/>
    </row>
    <row r="39" spans="2:4" ht="12.75">
      <c r="B39" s="144">
        <f>IF('Primary Sources'!B43&gt;0,'Primary Sources'!B43,"")</f>
      </c>
      <c r="C39" s="186">
        <f>IF('Primary Sources'!C43&gt;0,'Primary Sources'!C43,"")</f>
      </c>
      <c r="D39" s="1008"/>
    </row>
    <row r="40" spans="2:4" ht="12.75">
      <c r="B40" s="144">
        <f>IF('Primary Sources'!B44&gt;0,'Primary Sources'!B44,"")</f>
      </c>
      <c r="C40" s="186">
        <f>IF('Primary Sources'!C44&gt;0,'Primary Sources'!C44,"")</f>
      </c>
      <c r="D40" s="1007"/>
    </row>
    <row r="41" spans="2:4" ht="12.75">
      <c r="B41" s="144">
        <f>IF('Primary Sources'!B45&gt;0,'Primary Sources'!B45,"")</f>
      </c>
      <c r="C41" s="186">
        <f>IF('Primary Sources'!C45&gt;0,'Primary Sources'!C45,"")</f>
      </c>
      <c r="D41" s="1008"/>
    </row>
    <row r="42" spans="2:4" ht="12.75">
      <c r="B42" s="144">
        <f>IF('Primary Sources'!B46&gt;0,'Primary Sources'!B46,"")</f>
      </c>
      <c r="C42" s="186">
        <f>IF('Primary Sources'!C46&gt;0,'Primary Sources'!C46,"")</f>
      </c>
      <c r="D42" s="1007"/>
    </row>
    <row r="43" spans="2:4" ht="12.75">
      <c r="B43" s="144">
        <f>IF('Primary Sources'!B47&gt;0,'Primary Sources'!B47,"")</f>
      </c>
      <c r="C43" s="186">
        <f>IF('Primary Sources'!C47&gt;0,'Primary Sources'!C47,"")</f>
      </c>
      <c r="D43" s="1008"/>
    </row>
    <row r="44" spans="2:4" ht="12.75">
      <c r="B44" s="144">
        <f>IF('Primary Sources'!B48&gt;0,'Primary Sources'!B48,"")</f>
      </c>
      <c r="C44" s="186">
        <f>IF('Primary Sources'!C48&gt;0,'Primary Sources'!C48,"")</f>
      </c>
      <c r="D44" s="1007"/>
    </row>
    <row r="45" spans="2:4" ht="12.75">
      <c r="B45" s="144">
        <f>IF('Primary Sources'!B49&gt;0,'Primary Sources'!B49,"")</f>
      </c>
      <c r="C45" s="186">
        <f>IF('Primary Sources'!C49&gt;0,'Primary Sources'!C49,"")</f>
      </c>
      <c r="D45" s="1008"/>
    </row>
    <row r="46" spans="2:4" ht="13.5" thickBot="1">
      <c r="B46" s="131">
        <f>IF('Primary Sources'!B50&gt;0,'Primary Sources'!B50,"")</f>
      </c>
      <c r="C46" s="193">
        <f>IF('Primary Sources'!C50&gt;0,'Primary Sources'!C50,"")</f>
      </c>
      <c r="D46" s="1007"/>
    </row>
    <row r="47" spans="2:4" ht="13.5" thickBot="1">
      <c r="B47" s="196" t="str">
        <f>IF('Primary Sources'!B51&gt;0,'Primary Sources'!B51,"")</f>
        <v>Open Water</v>
      </c>
      <c r="C47" s="635">
        <f>IF('Primary Sources'!C51&gt;0,'Primary Sources'!C51,"")</f>
      </c>
      <c r="D47" s="1008"/>
    </row>
    <row r="48" spans="2:4" ht="13.5" thickBot="1">
      <c r="B48" s="196" t="str">
        <f>IF('Primary Sources'!B52&gt;0,'Primary Sources'!B52,"")</f>
        <v>Active Construction</v>
      </c>
      <c r="C48" s="635">
        <f>IF('Primary Sources'!C52&gt;0,'Primary Sources'!C52,"")</f>
      </c>
      <c r="D48" s="1007"/>
    </row>
    <row r="49" spans="2:4" ht="13.5" thickBot="1">
      <c r="B49" s="196" t="str">
        <f>IF('Primary Sources'!B53&gt;0,'Primary Sources'!B53,"")</f>
        <v>Vacant Lots</v>
      </c>
      <c r="C49" s="635">
        <f>IF('Primary Sources'!C53&gt;0,'Primary Sources'!C53,"")</f>
      </c>
      <c r="D49" s="1008"/>
    </row>
    <row r="50" spans="2:4" ht="13.5" thickBot="1">
      <c r="B50" s="169" t="s">
        <v>138</v>
      </c>
      <c r="C50" s="187"/>
      <c r="D50" s="1009">
        <f>SUM(D7:D49)</f>
        <v>0</v>
      </c>
    </row>
    <row r="51" spans="2:4" ht="14.25" thickBot="1" thickTop="1">
      <c r="B51" s="951" t="s">
        <v>341</v>
      </c>
      <c r="C51" s="950"/>
      <c r="D51" s="1010">
        <f>'Primary Sources'!D54</f>
        <v>0</v>
      </c>
    </row>
    <row r="52" ht="13.5" thickTop="1">
      <c r="D52" s="1011"/>
    </row>
    <row r="53" ht="12.75">
      <c r="D53" s="1011"/>
    </row>
    <row r="54" ht="12.75">
      <c r="D54" s="1011"/>
    </row>
    <row r="55" ht="12.75">
      <c r="D55" s="1011"/>
    </row>
    <row r="56" ht="12.75">
      <c r="D56" s="1011"/>
    </row>
    <row r="57" ht="12.75">
      <c r="D57" s="1011"/>
    </row>
    <row r="58" ht="12.75">
      <c r="D58" s="1011"/>
    </row>
    <row r="59" ht="12.75">
      <c r="D59" s="1011"/>
    </row>
    <row r="60" ht="12.75">
      <c r="D60" s="1011"/>
    </row>
    <row r="61" ht="12.75">
      <c r="D61" s="1011"/>
    </row>
    <row r="62" ht="12.75">
      <c r="D62" s="1011"/>
    </row>
    <row r="63" ht="12.75">
      <c r="D63" s="1011"/>
    </row>
    <row r="64" ht="12.75">
      <c r="D64" s="1011"/>
    </row>
    <row r="65" ht="12.75">
      <c r="D65" s="1011"/>
    </row>
    <row r="66" ht="12.75">
      <c r="D66" s="1011"/>
    </row>
    <row r="67" ht="12.75">
      <c r="D67" s="1011"/>
    </row>
    <row r="68" ht="12.75">
      <c r="D68" s="1011"/>
    </row>
    <row r="69" ht="12.75">
      <c r="D69" s="1011"/>
    </row>
    <row r="70" ht="12.75">
      <c r="D70" s="1011"/>
    </row>
    <row r="71" ht="12.75">
      <c r="D71" s="1011"/>
    </row>
    <row r="72" ht="12.75">
      <c r="D72" s="1011"/>
    </row>
    <row r="73" ht="12.75">
      <c r="D73" s="1011"/>
    </row>
    <row r="74" ht="12.75">
      <c r="D74" s="1011"/>
    </row>
    <row r="75" ht="12.75">
      <c r="D75" s="1011"/>
    </row>
    <row r="76" ht="12.75">
      <c r="D76" s="1011"/>
    </row>
    <row r="77" ht="12.75">
      <c r="D77" s="1011"/>
    </row>
    <row r="78" ht="12.75">
      <c r="D78" s="1011"/>
    </row>
    <row r="79" ht="12.75">
      <c r="D79" s="1011"/>
    </row>
    <row r="80" ht="12.75">
      <c r="D80" s="1011"/>
    </row>
    <row r="81" ht="12.75">
      <c r="D81" s="1011"/>
    </row>
    <row r="82" ht="12.75">
      <c r="D82" s="1011"/>
    </row>
    <row r="83" ht="12.75">
      <c r="D83" s="1011"/>
    </row>
    <row r="84" ht="12.75">
      <c r="D84" s="1011"/>
    </row>
    <row r="85" ht="12.75">
      <c r="D85" s="1011"/>
    </row>
    <row r="86" ht="12.75">
      <c r="D86" s="1011"/>
    </row>
    <row r="87" ht="12.75">
      <c r="D87" s="1011"/>
    </row>
    <row r="88" ht="12.75">
      <c r="D88" s="1011"/>
    </row>
    <row r="89" ht="12.75">
      <c r="D89" s="1011"/>
    </row>
    <row r="90" ht="12.75">
      <c r="D90" s="1011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129"/>
  <sheetViews>
    <sheetView workbookViewId="0" topLeftCell="D1">
      <selection activeCell="E7" sqref="E7"/>
    </sheetView>
  </sheetViews>
  <sheetFormatPr defaultColWidth="9.140625" defaultRowHeight="12.75"/>
  <cols>
    <col min="2" max="2" width="40.8515625" style="0" customWidth="1"/>
    <col min="3" max="3" width="30.00390625" style="0" customWidth="1"/>
    <col min="4" max="4" width="23.421875" style="0" customWidth="1"/>
    <col min="5" max="5" width="21.8515625" style="0" customWidth="1"/>
    <col min="6" max="6" width="15.00390625" style="0" customWidth="1"/>
    <col min="7" max="7" width="10.28125" style="0" customWidth="1"/>
    <col min="9" max="9" width="21.421875" style="0" customWidth="1"/>
    <col min="13" max="13" width="25.8515625" style="25" customWidth="1"/>
    <col min="14" max="14" width="12.57421875" style="0" customWidth="1"/>
    <col min="16" max="16" width="17.57421875" style="0" customWidth="1"/>
    <col min="17" max="17" width="25.00390625" style="0" customWidth="1"/>
    <col min="20" max="20" width="11.28125" style="0" bestFit="1" customWidth="1"/>
  </cols>
  <sheetData>
    <row r="1" spans="14:17" s="1" customFormat="1" ht="13.5" thickBot="1">
      <c r="N1" s="22"/>
      <c r="O1" s="22"/>
      <c r="P1" s="22"/>
      <c r="Q1" s="22"/>
    </row>
    <row r="2" spans="2:17" s="1" customFormat="1" ht="23.25" customHeight="1" thickTop="1">
      <c r="B2" s="26" t="s">
        <v>202</v>
      </c>
      <c r="C2" s="4"/>
      <c r="D2" s="21"/>
      <c r="E2" s="4"/>
      <c r="F2" s="21"/>
      <c r="G2" s="4"/>
      <c r="H2" s="4"/>
      <c r="I2" s="4"/>
      <c r="J2" s="4"/>
      <c r="K2" s="4"/>
      <c r="L2" s="4"/>
      <c r="M2" s="18"/>
      <c r="N2" s="53"/>
      <c r="O2" s="53"/>
      <c r="P2" s="53"/>
      <c r="Q2" s="54"/>
    </row>
    <row r="3" spans="2:17" s="1" customFormat="1" ht="12.75" customHeight="1">
      <c r="B3" s="7"/>
      <c r="C3" s="6"/>
      <c r="D3" s="72"/>
      <c r="E3" s="110"/>
      <c r="F3" s="15"/>
      <c r="G3" s="6" t="s">
        <v>7</v>
      </c>
      <c r="H3" s="6"/>
      <c r="I3" s="6"/>
      <c r="J3" s="6"/>
      <c r="K3" s="6" t="s">
        <v>10</v>
      </c>
      <c r="L3" s="6"/>
      <c r="M3" s="14"/>
      <c r="N3" s="23" t="s">
        <v>196</v>
      </c>
      <c r="O3" s="23"/>
      <c r="P3" s="23"/>
      <c r="Q3" s="55"/>
    </row>
    <row r="4" spans="2:17" s="1" customFormat="1" ht="12.75">
      <c r="B4" s="7"/>
      <c r="C4" s="6" t="s">
        <v>0</v>
      </c>
      <c r="D4" s="72" t="s">
        <v>194</v>
      </c>
      <c r="E4" s="110" t="s">
        <v>1</v>
      </c>
      <c r="F4" s="72" t="s">
        <v>4</v>
      </c>
      <c r="G4" s="108" t="s">
        <v>5</v>
      </c>
      <c r="H4" s="90" t="s">
        <v>6</v>
      </c>
      <c r="I4" s="160" t="s">
        <v>8</v>
      </c>
      <c r="J4" s="109" t="s">
        <v>4</v>
      </c>
      <c r="K4" s="108" t="s">
        <v>5</v>
      </c>
      <c r="L4" s="108" t="s">
        <v>6</v>
      </c>
      <c r="M4" s="110" t="s">
        <v>8</v>
      </c>
      <c r="N4" s="178" t="s">
        <v>4</v>
      </c>
      <c r="O4" s="179" t="s">
        <v>5</v>
      </c>
      <c r="P4" s="179" t="s">
        <v>6</v>
      </c>
      <c r="Q4" s="180" t="s">
        <v>8</v>
      </c>
    </row>
    <row r="5" spans="2:17" s="1" customFormat="1" ht="13.5" thickBot="1">
      <c r="B5" s="8"/>
      <c r="C5" s="664"/>
      <c r="D5" s="665" t="s">
        <v>26</v>
      </c>
      <c r="E5" s="666" t="s">
        <v>3</v>
      </c>
      <c r="F5" s="665" t="s">
        <v>2</v>
      </c>
      <c r="G5" s="361" t="s">
        <v>2</v>
      </c>
      <c r="H5" s="67" t="s">
        <v>2</v>
      </c>
      <c r="I5" s="81" t="s">
        <v>9</v>
      </c>
      <c r="J5" s="667" t="s">
        <v>11</v>
      </c>
      <c r="K5" s="361" t="s">
        <v>11</v>
      </c>
      <c r="L5" s="361" t="s">
        <v>11</v>
      </c>
      <c r="M5" s="668" t="s">
        <v>22</v>
      </c>
      <c r="N5" s="669" t="s">
        <v>88</v>
      </c>
      <c r="O5" s="670" t="s">
        <v>88</v>
      </c>
      <c r="P5" s="670" t="s">
        <v>88</v>
      </c>
      <c r="Q5" s="671" t="s">
        <v>89</v>
      </c>
    </row>
    <row r="6" spans="2:17" s="1" customFormat="1" ht="13.5" thickTop="1">
      <c r="B6" s="248"/>
      <c r="C6" s="672"/>
      <c r="D6" s="674"/>
      <c r="E6" s="673"/>
      <c r="F6" s="674"/>
      <c r="G6" s="675"/>
      <c r="H6" s="675"/>
      <c r="I6" s="676"/>
      <c r="J6" s="677"/>
      <c r="K6" s="675"/>
      <c r="L6" s="675"/>
      <c r="M6" s="676"/>
      <c r="N6" s="678"/>
      <c r="O6" s="679"/>
      <c r="P6" s="679"/>
      <c r="Q6" s="680"/>
    </row>
    <row r="7" spans="2:17" s="1" customFormat="1" ht="12.75">
      <c r="B7" s="78" t="str">
        <f>IF('Primary Sources'!B11&gt;0,'Primary Sources'!B11,"")</f>
        <v>Residential</v>
      </c>
      <c r="C7" s="84" t="str">
        <f>IF('Primary Sources'!C11&gt;0,'Primary Sources'!C11,"")</f>
        <v>LDR (&lt;1du/acre)</v>
      </c>
      <c r="D7" s="159">
        <f>'Future Land Use'!D7-'Primary Sources'!D11</f>
        <v>0</v>
      </c>
      <c r="E7" s="157">
        <f>'Primary Sources'!E11</f>
        <v>11</v>
      </c>
      <c r="F7" s="159">
        <f>'Primary Sources'!F11</f>
        <v>2</v>
      </c>
      <c r="G7" s="61">
        <f>'Primary Sources'!G11</f>
        <v>0.26</v>
      </c>
      <c r="H7" s="61">
        <f>'Primary Sources'!H11</f>
        <v>55</v>
      </c>
      <c r="I7" s="155">
        <f>'Primary Sources'!I11</f>
        <v>20000</v>
      </c>
      <c r="J7" s="182">
        <f>MAX(0.226*(0.05+0.009*$E7)*F7*'Primary Sources'!$C$62*0.9,(J$33)*'Primary Sources'!C$59)</f>
        <v>1.25</v>
      </c>
      <c r="K7" s="62">
        <f>MAX(0.226*(0.05+0.009*$E7)*G7*'Primary Sources'!$C$62*0.9,(K$33)*'Primary Sources'!D$59)</f>
        <v>0.13999999999999999</v>
      </c>
      <c r="L7" s="63">
        <f>MAX(0.226*(0.05+0.009*$E7)*H7*'Primary Sources'!$C$62*0.9,(L$33)*'Primary Sources'!E$59)</f>
        <v>90</v>
      </c>
      <c r="M7" s="227">
        <f>MAX(1.03*(0.05+0.009*$E7)*I7*'Primary Sources'!$C$62/1000*0.9,(M$33)*'Primary Sources'!F$59)</f>
        <v>12</v>
      </c>
      <c r="N7" s="758">
        <f>$D7*J7</f>
        <v>0</v>
      </c>
      <c r="O7" s="756">
        <f aca="true" t="shared" si="0" ref="O7:O47">$D7*K7</f>
        <v>0</v>
      </c>
      <c r="P7" s="756">
        <f aca="true" t="shared" si="1" ref="P7:P47">$D7*L7</f>
        <v>0</v>
      </c>
      <c r="Q7" s="759">
        <f aca="true" t="shared" si="2" ref="Q7:Q47">$D7*M7</f>
        <v>0</v>
      </c>
    </row>
    <row r="8" spans="2:17" s="1" customFormat="1" ht="12.75">
      <c r="B8" s="78">
        <f>IF('Primary Sources'!B12&gt;0,'Primary Sources'!B12,"")</f>
      </c>
      <c r="C8" s="84" t="str">
        <f>IF('Primary Sources'!C12&gt;0,'Primary Sources'!C12,"")</f>
        <v>MDR (1-4 du/acre)</v>
      </c>
      <c r="D8" s="159">
        <f>'Future Land Use'!D8-'Primary Sources'!D12</f>
        <v>0</v>
      </c>
      <c r="E8" s="157">
        <f>'Primary Sources'!E12</f>
        <v>21</v>
      </c>
      <c r="F8" s="159">
        <f>'Primary Sources'!F12</f>
        <v>2</v>
      </c>
      <c r="G8" s="61">
        <f>'Primary Sources'!G12</f>
        <v>0.26</v>
      </c>
      <c r="H8" s="61">
        <f>'Primary Sources'!H12</f>
        <v>55</v>
      </c>
      <c r="I8" s="155">
        <f>'Primary Sources'!I12</f>
        <v>20000</v>
      </c>
      <c r="J8" s="182">
        <f>MAX(0.226*(0.05+0.009*$E8)*F8*'Primary Sources'!$C$62*0.9,(J$33)*'Primary Sources'!C$59)</f>
        <v>1.25</v>
      </c>
      <c r="K8" s="62">
        <f>MAX(0.226*(0.05+0.009*$E8)*G8*'Primary Sources'!$C$62*0.9,(K$33)*'Primary Sources'!D$59)</f>
        <v>0.13999999999999999</v>
      </c>
      <c r="L8" s="63">
        <f>MAX(0.226*(0.05+0.009*$E8)*H8*'Primary Sources'!$C$62*0.9,(L$33)*'Primary Sources'!E$59)</f>
        <v>90</v>
      </c>
      <c r="M8" s="227">
        <f>MAX(1.03*(0.05+0.009*$E8)*I8*'Primary Sources'!$C$62/1000*0.9,(M$33)*'Primary Sources'!F$59)</f>
        <v>12</v>
      </c>
      <c r="N8" s="758">
        <f aca="true" t="shared" si="3" ref="N8:N47">$D8*J8</f>
        <v>0</v>
      </c>
      <c r="O8" s="756">
        <f t="shared" si="0"/>
        <v>0</v>
      </c>
      <c r="P8" s="756">
        <f t="shared" si="1"/>
        <v>0</v>
      </c>
      <c r="Q8" s="759">
        <f t="shared" si="2"/>
        <v>0</v>
      </c>
    </row>
    <row r="9" spans="2:17" s="1" customFormat="1" ht="12.75">
      <c r="B9" s="78">
        <f>IF('Primary Sources'!B13&gt;0,'Primary Sources'!B13,"")</f>
      </c>
      <c r="C9" s="84" t="str">
        <f>IF('Primary Sources'!C13&gt;0,'Primary Sources'!C13,"")</f>
        <v>HDR (&gt;4 du/acre)</v>
      </c>
      <c r="D9" s="159">
        <f>'Future Land Use'!D9-'Primary Sources'!D13</f>
        <v>0</v>
      </c>
      <c r="E9" s="157">
        <f>'Primary Sources'!E13</f>
        <v>33</v>
      </c>
      <c r="F9" s="159">
        <f>'Primary Sources'!F13</f>
        <v>2</v>
      </c>
      <c r="G9" s="61">
        <f>'Primary Sources'!G13</f>
        <v>0.26</v>
      </c>
      <c r="H9" s="61">
        <f>'Primary Sources'!H13</f>
        <v>55</v>
      </c>
      <c r="I9" s="155">
        <f>'Primary Sources'!I13</f>
        <v>20000</v>
      </c>
      <c r="J9" s="182">
        <f>MAX(0.226*(0.05+0.009*$E9)*F9*'Primary Sources'!$C$62*0.9,(J$33)*'Primary Sources'!C$59)</f>
        <v>1.25</v>
      </c>
      <c r="K9" s="62">
        <f>MAX(0.226*(0.05+0.009*$E9)*G9*'Primary Sources'!$C$62*0.9,(K$33)*'Primary Sources'!D$59)</f>
        <v>0.13999999999999999</v>
      </c>
      <c r="L9" s="63">
        <f>MAX(0.226*(0.05+0.009*$E9)*H9*'Primary Sources'!$C$62*0.9,(L$33)*'Primary Sources'!E$59)</f>
        <v>90</v>
      </c>
      <c r="M9" s="227">
        <f>MAX(1.03*(0.05+0.009*$E9)*I9*'Primary Sources'!$C$62/1000*0.9,(M$33)*'Primary Sources'!F$59)</f>
        <v>12</v>
      </c>
      <c r="N9" s="758">
        <f t="shared" si="3"/>
        <v>0</v>
      </c>
      <c r="O9" s="756">
        <f t="shared" si="0"/>
        <v>0</v>
      </c>
      <c r="P9" s="756">
        <f t="shared" si="1"/>
        <v>0</v>
      </c>
      <c r="Q9" s="759">
        <f t="shared" si="2"/>
        <v>0</v>
      </c>
    </row>
    <row r="10" spans="2:20" s="1" customFormat="1" ht="12.75">
      <c r="B10" s="78">
        <f>IF('Primary Sources'!B14&gt;0,'Primary Sources'!B14,"")</f>
      </c>
      <c r="C10" s="84" t="str">
        <f>IF('Primary Sources'!C14&gt;0,'Primary Sources'!C14,"")</f>
        <v>Multifamily</v>
      </c>
      <c r="D10" s="159">
        <f>'Future Land Use'!D10-'Primary Sources'!D14</f>
        <v>0</v>
      </c>
      <c r="E10" s="157">
        <f>'Primary Sources'!E14</f>
        <v>44</v>
      </c>
      <c r="F10" s="159">
        <f>'Primary Sources'!F14</f>
        <v>2</v>
      </c>
      <c r="G10" s="61">
        <f>'Primary Sources'!G14</f>
        <v>0.26</v>
      </c>
      <c r="H10" s="61">
        <f>'Primary Sources'!H14</f>
        <v>55</v>
      </c>
      <c r="I10" s="155">
        <f>'Primary Sources'!I14</f>
        <v>20000</v>
      </c>
      <c r="J10" s="182">
        <f>MAX(0.226*(0.05+0.009*$E10)*F10*'Primary Sources'!$C$62*0.9,(J$33)*'Primary Sources'!C$59)</f>
        <v>1.25</v>
      </c>
      <c r="K10" s="62">
        <f>MAX(0.226*(0.05+0.009*$E10)*G10*'Primary Sources'!$C$62*0.9,(K$33)*'Primary Sources'!D$59)</f>
        <v>0.13999999999999999</v>
      </c>
      <c r="L10" s="63">
        <f>MAX(0.226*(0.05+0.009*$E10)*H10*'Primary Sources'!$C$62*0.9,(L$33)*'Primary Sources'!E$59)</f>
        <v>90</v>
      </c>
      <c r="M10" s="227">
        <f>MAX(1.03*(0.05+0.009*$E10)*I10*'Primary Sources'!$C$62/1000*0.9,(M$33)*'Primary Sources'!F$59)</f>
        <v>12</v>
      </c>
      <c r="N10" s="758">
        <f t="shared" si="3"/>
        <v>0</v>
      </c>
      <c r="O10" s="756">
        <f t="shared" si="0"/>
        <v>0</v>
      </c>
      <c r="P10" s="756">
        <f t="shared" si="1"/>
        <v>0</v>
      </c>
      <c r="Q10" s="759">
        <f t="shared" si="2"/>
        <v>0</v>
      </c>
      <c r="T10" s="851"/>
    </row>
    <row r="11" spans="2:17" s="1" customFormat="1" ht="12.75">
      <c r="B11" s="78">
        <f>IF('Primary Sources'!B15&gt;0,'Primary Sources'!B15,"")</f>
      </c>
      <c r="C11" s="84">
        <f>IF('Primary Sources'!C15&gt;0,'Primary Sources'!C15,"")</f>
      </c>
      <c r="D11" s="159">
        <f>'Future Land Use'!D11-'Primary Sources'!D15</f>
        <v>0</v>
      </c>
      <c r="E11" s="157">
        <f>'Primary Sources'!E15</f>
        <v>0</v>
      </c>
      <c r="F11" s="159">
        <f>'Primary Sources'!F15</f>
        <v>0</v>
      </c>
      <c r="G11" s="61">
        <f>'Primary Sources'!G15</f>
        <v>0</v>
      </c>
      <c r="H11" s="61">
        <f>'Primary Sources'!H15</f>
        <v>0</v>
      </c>
      <c r="I11" s="155">
        <f>'Primary Sources'!I15</f>
        <v>0</v>
      </c>
      <c r="J11" s="182">
        <f>MAX(0.226*(0.05+0.009*$E11)*F11*'Primary Sources'!$C$62*0.9,(J$33)*'Primary Sources'!C$59)</f>
        <v>1.25</v>
      </c>
      <c r="K11" s="62">
        <f>MAX(0.226*(0.05+0.009*$E11)*G11*'Primary Sources'!$C$62*0.9,(K$33)*'Primary Sources'!D$59)</f>
        <v>0.13999999999999999</v>
      </c>
      <c r="L11" s="63">
        <f>MAX(0.226*(0.05+0.009*$E11)*H11*'Primary Sources'!$C$62*0.9,(L$33)*'Primary Sources'!E$59)</f>
        <v>90</v>
      </c>
      <c r="M11" s="227">
        <f>MAX(1.03*(0.05+0.009*$E11)*I11*'Primary Sources'!$C$62/1000*0.9,(M$33)*'Primary Sources'!F$59)</f>
        <v>12</v>
      </c>
      <c r="N11" s="758">
        <f t="shared" si="3"/>
        <v>0</v>
      </c>
      <c r="O11" s="756">
        <f t="shared" si="0"/>
        <v>0</v>
      </c>
      <c r="P11" s="756">
        <f t="shared" si="1"/>
        <v>0</v>
      </c>
      <c r="Q11" s="759">
        <f t="shared" si="2"/>
        <v>0</v>
      </c>
    </row>
    <row r="12" spans="2:17" s="1" customFormat="1" ht="12.75">
      <c r="B12" s="78">
        <f>IF('Primary Sources'!B16&gt;0,'Primary Sources'!B16,"")</f>
      </c>
      <c r="C12" s="84">
        <f>IF('Primary Sources'!C16&gt;0,'Primary Sources'!C16,"")</f>
      </c>
      <c r="D12" s="159">
        <f>'Future Land Use'!D12-'Primary Sources'!D16</f>
        <v>0</v>
      </c>
      <c r="E12" s="157">
        <f>'Primary Sources'!E16</f>
        <v>0</v>
      </c>
      <c r="F12" s="159">
        <f>'Primary Sources'!F16</f>
        <v>0</v>
      </c>
      <c r="G12" s="61">
        <f>'Primary Sources'!G16</f>
        <v>0</v>
      </c>
      <c r="H12" s="61">
        <f>'Primary Sources'!H16</f>
        <v>0</v>
      </c>
      <c r="I12" s="155">
        <f>'Primary Sources'!I16</f>
        <v>0</v>
      </c>
      <c r="J12" s="182">
        <f>MAX(0.226*(0.05+0.009*$E12)*F12*'Primary Sources'!$C$62*0.9,(J$33)*'Primary Sources'!C$59)</f>
        <v>1.25</v>
      </c>
      <c r="K12" s="62">
        <f>MAX(0.226*(0.05+0.009*$E12)*G12*'Primary Sources'!$C$62*0.9,(K$33)*'Primary Sources'!D$59)</f>
        <v>0.13999999999999999</v>
      </c>
      <c r="L12" s="63">
        <f>MAX(0.226*(0.05+0.009*$E12)*H12*'Primary Sources'!$C$62*0.9,(L$33)*'Primary Sources'!E$59)</f>
        <v>90</v>
      </c>
      <c r="M12" s="227">
        <f>MAX(1.03*(0.05+0.009*$E12)*I12*'Primary Sources'!$C$62/1000*0.9,(M$33)*'Primary Sources'!F$59)</f>
        <v>12</v>
      </c>
      <c r="N12" s="758">
        <f t="shared" si="3"/>
        <v>0</v>
      </c>
      <c r="O12" s="756">
        <f t="shared" si="0"/>
        <v>0</v>
      </c>
      <c r="P12" s="756">
        <f t="shared" si="1"/>
        <v>0</v>
      </c>
      <c r="Q12" s="759">
        <f t="shared" si="2"/>
        <v>0</v>
      </c>
    </row>
    <row r="13" spans="2:17" s="1" customFormat="1" ht="12.75">
      <c r="B13" s="78">
        <f>IF('Primary Sources'!B18&gt;0,'Primary Sources'!B18,"")</f>
      </c>
      <c r="C13" s="84">
        <f>IF('Primary Sources'!C18&gt;0,'Primary Sources'!C18,"")</f>
      </c>
      <c r="D13" s="159">
        <f>'Future Land Use'!D13-'Primary Sources'!D17</f>
        <v>0</v>
      </c>
      <c r="E13" s="157">
        <f>'Primary Sources'!E18</f>
        <v>0</v>
      </c>
      <c r="F13" s="159">
        <f>'Primary Sources'!F18</f>
        <v>0</v>
      </c>
      <c r="G13" s="61">
        <f>'Primary Sources'!G18</f>
        <v>0</v>
      </c>
      <c r="H13" s="61">
        <f>'Primary Sources'!H18</f>
        <v>0</v>
      </c>
      <c r="I13" s="155">
        <f>'Primary Sources'!I18</f>
        <v>0</v>
      </c>
      <c r="J13" s="182">
        <f>MAX(0.226*(0.05+0.009*$E13)*F13*'Primary Sources'!$C$62*0.9,(J$33)*'Primary Sources'!C$59)</f>
        <v>1.25</v>
      </c>
      <c r="K13" s="62">
        <f>MAX(0.226*(0.05+0.009*$E13)*G13*'Primary Sources'!$C$62*0.9,(K$33)*'Primary Sources'!D$59)</f>
        <v>0.13999999999999999</v>
      </c>
      <c r="L13" s="63">
        <f>MAX(0.226*(0.05+0.009*$E13)*H13*'Primary Sources'!$C$62*0.9,(L$33)*'Primary Sources'!E$59)</f>
        <v>90</v>
      </c>
      <c r="M13" s="227">
        <f>MAX(1.03*(0.05+0.009*$E13)*I13*'Primary Sources'!$C$62/1000*0.9,(M$33)*'Primary Sources'!F$59)</f>
        <v>12</v>
      </c>
      <c r="N13" s="758">
        <f t="shared" si="3"/>
        <v>0</v>
      </c>
      <c r="O13" s="756">
        <f t="shared" si="0"/>
        <v>0</v>
      </c>
      <c r="P13" s="756">
        <f t="shared" si="1"/>
        <v>0</v>
      </c>
      <c r="Q13" s="759">
        <f t="shared" si="2"/>
        <v>0</v>
      </c>
    </row>
    <row r="14" spans="2:17" s="1" customFormat="1" ht="12.75">
      <c r="B14" s="78">
        <f>IF('Primary Sources'!B19&gt;0,'Primary Sources'!B19,"")</f>
      </c>
      <c r="C14" s="84">
        <f>IF('Primary Sources'!C19&gt;0,'Primary Sources'!C19,"")</f>
      </c>
      <c r="D14" s="159">
        <f>'Future Land Use'!D14-'Primary Sources'!D18</f>
        <v>0</v>
      </c>
      <c r="E14" s="157">
        <f>'Primary Sources'!E19</f>
        <v>0</v>
      </c>
      <c r="F14" s="159">
        <f>'Primary Sources'!F19</f>
        <v>0</v>
      </c>
      <c r="G14" s="61">
        <f>'Primary Sources'!G19</f>
        <v>0</v>
      </c>
      <c r="H14" s="61">
        <f>'Primary Sources'!H19</f>
        <v>0</v>
      </c>
      <c r="I14" s="155">
        <f>'Primary Sources'!I19</f>
        <v>0</v>
      </c>
      <c r="J14" s="182">
        <f>MAX(0.226*(0.05+0.009*$E14)*F14*'Primary Sources'!$C$62*0.9,(J$33)*'Primary Sources'!C$59)</f>
        <v>1.25</v>
      </c>
      <c r="K14" s="62">
        <f>MAX(0.226*(0.05+0.009*$E14)*G14*'Primary Sources'!$C$62*0.9,(K$33)*'Primary Sources'!D$59)</f>
        <v>0.13999999999999999</v>
      </c>
      <c r="L14" s="63">
        <f>MAX(0.226*(0.05+0.009*$E14)*H14*'Primary Sources'!$C$62*0.9,(L$33)*'Primary Sources'!E$59)</f>
        <v>90</v>
      </c>
      <c r="M14" s="227">
        <f>MAX(1.03*(0.05+0.009*$E14)*I14*'Primary Sources'!$C$62/1000*0.9,(M$33)*'Primary Sources'!F$59)</f>
        <v>12</v>
      </c>
      <c r="N14" s="758">
        <f t="shared" si="3"/>
        <v>0</v>
      </c>
      <c r="O14" s="756">
        <f t="shared" si="0"/>
        <v>0</v>
      </c>
      <c r="P14" s="756">
        <f t="shared" si="1"/>
        <v>0</v>
      </c>
      <c r="Q14" s="759">
        <f>$D14*M14</f>
        <v>0</v>
      </c>
    </row>
    <row r="15" spans="2:17" s="1" customFormat="1" ht="13.5" thickBot="1">
      <c r="B15" s="131">
        <f>IF('Primary Sources'!B20&gt;0,'Primary Sources'!B20,"")</f>
      </c>
      <c r="C15" s="193">
        <f>IF('Primary Sources'!C20&gt;0,'Primary Sources'!C20,"")</f>
      </c>
      <c r="D15" s="212">
        <f>'Future Land Use'!D15-'Primary Sources'!D19</f>
        <v>0</v>
      </c>
      <c r="E15" s="211">
        <f>'Primary Sources'!E20</f>
        <v>0</v>
      </c>
      <c r="F15" s="212">
        <f>'Primary Sources'!F20</f>
        <v>0</v>
      </c>
      <c r="G15" s="210">
        <f>'Primary Sources'!G20</f>
        <v>0</v>
      </c>
      <c r="H15" s="210">
        <f>'Primary Sources'!H20</f>
        <v>0</v>
      </c>
      <c r="I15" s="208">
        <f>'Primary Sources'!I20</f>
        <v>0</v>
      </c>
      <c r="J15" s="625">
        <f>MAX(0.226*(0.05+0.009*$E15)*F15*'Primary Sources'!$C$62*0.9,(J$33)*'Primary Sources'!C$59)</f>
        <v>1.25</v>
      </c>
      <c r="K15" s="626">
        <f>MAX(0.226*(0.05+0.009*$E15)*G15*'Primary Sources'!$C$62*0.9,(K$33)*'Primary Sources'!D$59)</f>
        <v>0.13999999999999999</v>
      </c>
      <c r="L15" s="627">
        <f>MAX(0.226*(0.05+0.009*$E15)*H15*'Primary Sources'!$C$62*0.9,(L$33)*'Primary Sources'!E$59)</f>
        <v>90</v>
      </c>
      <c r="M15" s="213">
        <f>MAX(1.03*(0.05+0.009*$E15)*I15*'Primary Sources'!$C$62/1000*0.9,(M$33)*'Primary Sources'!F$59)</f>
        <v>12</v>
      </c>
      <c r="N15" s="760">
        <f t="shared" si="3"/>
        <v>0</v>
      </c>
      <c r="O15" s="757">
        <f t="shared" si="0"/>
        <v>0</v>
      </c>
      <c r="P15" s="757">
        <f t="shared" si="1"/>
        <v>0</v>
      </c>
      <c r="Q15" s="761">
        <f t="shared" si="2"/>
        <v>0</v>
      </c>
    </row>
    <row r="16" spans="2:17" s="1" customFormat="1" ht="12.75">
      <c r="B16" s="76" t="str">
        <f>IF('Primary Sources'!B21&gt;0,'Primary Sources'!B21,"")</f>
        <v>Commercial</v>
      </c>
      <c r="C16" s="658">
        <f>IF('Primary Sources'!C21&gt;0,'Primary Sources'!C21,"")</f>
      </c>
      <c r="D16" s="686">
        <f>'Future Land Use'!D16-'Primary Sources'!D20</f>
        <v>0</v>
      </c>
      <c r="E16" s="659">
        <f>'Primary Sources'!E21</f>
        <v>72</v>
      </c>
      <c r="F16" s="686">
        <f>'Primary Sources'!F21</f>
        <v>2</v>
      </c>
      <c r="G16" s="660">
        <f>'Primary Sources'!G21</f>
        <v>0.26</v>
      </c>
      <c r="H16" s="660">
        <f>'Primary Sources'!H21</f>
        <v>55</v>
      </c>
      <c r="I16" s="477">
        <f>'Primary Sources'!I21</f>
        <v>20000</v>
      </c>
      <c r="J16" s="687">
        <f>MAX(0.226*(0.05+0.009*$E16)*F16*'Primary Sources'!$C$62*0.9,(J$33+J$38)*'Primary Sources'!C$59/2)</f>
        <v>1.775</v>
      </c>
      <c r="K16" s="688">
        <f>MAX(0.226*(0.05+0.009*$E16)*G16*'Primary Sources'!$C$62*0.9,(K$33+K$38)*'Primary Sources'!D$59/2)</f>
        <v>0.31499999999999995</v>
      </c>
      <c r="L16" s="689">
        <f>MAX(0.226*(0.05+0.009*$E16)*H16*'Primary Sources'!$C$62*0.9,(L$33+L$38)*'Primary Sources'!E$59/2)</f>
        <v>90</v>
      </c>
      <c r="M16" s="661">
        <f>MAX(1.03*(0.05+0.009*$E16)*I16*'Primary Sources'!$C$62/1000*0.9,(M$33+M$38)*'Primary Sources'!F$59/2)</f>
        <v>25.5</v>
      </c>
      <c r="N16" s="762">
        <f t="shared" si="3"/>
        <v>0</v>
      </c>
      <c r="O16" s="763">
        <f t="shared" si="0"/>
        <v>0</v>
      </c>
      <c r="P16" s="763">
        <f t="shared" si="1"/>
        <v>0</v>
      </c>
      <c r="Q16" s="764">
        <f t="shared" si="2"/>
        <v>0</v>
      </c>
    </row>
    <row r="17" spans="2:17" s="1" customFormat="1" ht="12.75">
      <c r="B17" s="78">
        <f>IF('Primary Sources'!B22&gt;0,'Primary Sources'!B22,"")</f>
      </c>
      <c r="C17" s="84">
        <f>IF('Primary Sources'!C22&gt;0,'Primary Sources'!C22,"")</f>
      </c>
      <c r="D17" s="159">
        <f>'Future Land Use'!D17-'Primary Sources'!D21</f>
        <v>0</v>
      </c>
      <c r="E17" s="157">
        <f>'Primary Sources'!E22</f>
        <v>0</v>
      </c>
      <c r="F17" s="159">
        <f>'Primary Sources'!F22</f>
        <v>0</v>
      </c>
      <c r="G17" s="61">
        <f>'Primary Sources'!G22</f>
        <v>0</v>
      </c>
      <c r="H17" s="61">
        <f>'Primary Sources'!H22</f>
        <v>0</v>
      </c>
      <c r="I17" s="155">
        <f>'Primary Sources'!I22</f>
        <v>0</v>
      </c>
      <c r="J17" s="182">
        <f>MAX(0.226*(0.05+0.009*$E17)*F17*'Primary Sources'!$C$62*0.9,(J$33+J$38)*'Primary Sources'!C$59/2)</f>
        <v>1.775</v>
      </c>
      <c r="K17" s="62">
        <f>MAX(0.226*(0.05+0.009*$E17)*G17*'Primary Sources'!$C$62*0.9,(K$33+K$38)*'Primary Sources'!D$59/2)</f>
        <v>0.31499999999999995</v>
      </c>
      <c r="L17" s="63">
        <f>MAX(0.226*(0.05+0.009*$E17)*H17*'Primary Sources'!$C$62*0.9,(L$33+L$38)*'Primary Sources'!E$59/2)</f>
        <v>90</v>
      </c>
      <c r="M17" s="227">
        <f>MAX(1.03*(0.05+0.009*$E17)*I17*'Primary Sources'!$C$62/1000*0.9,(M$33+M$38)*'Primary Sources'!F$59/2)</f>
        <v>25.5</v>
      </c>
      <c r="N17" s="758">
        <f t="shared" si="3"/>
        <v>0</v>
      </c>
      <c r="O17" s="756">
        <f t="shared" si="0"/>
        <v>0</v>
      </c>
      <c r="P17" s="756">
        <f t="shared" si="1"/>
        <v>0</v>
      </c>
      <c r="Q17" s="759">
        <f t="shared" si="2"/>
        <v>0</v>
      </c>
    </row>
    <row r="18" spans="2:17" s="1" customFormat="1" ht="12.75">
      <c r="B18" s="78">
        <f>IF('Primary Sources'!B23&gt;0,'Primary Sources'!B23,"")</f>
      </c>
      <c r="C18" s="84">
        <f>IF('Primary Sources'!C23&gt;0,'Primary Sources'!C23,"")</f>
      </c>
      <c r="D18" s="159">
        <f>'Future Land Use'!D18-'Primary Sources'!D22</f>
        <v>0</v>
      </c>
      <c r="E18" s="157">
        <f>'Primary Sources'!E23</f>
        <v>0</v>
      </c>
      <c r="F18" s="159">
        <f>'Primary Sources'!F23</f>
        <v>0</v>
      </c>
      <c r="G18" s="61">
        <f>'Primary Sources'!G23</f>
        <v>0</v>
      </c>
      <c r="H18" s="61">
        <f>'Primary Sources'!H23</f>
        <v>0</v>
      </c>
      <c r="I18" s="155">
        <f>'Primary Sources'!I23</f>
        <v>0</v>
      </c>
      <c r="J18" s="182">
        <f>MAX(0.226*(0.05+0.009*$E18)*F18*'Primary Sources'!$C$62*0.9,(J$33+J$38)*'Primary Sources'!C$59/2)</f>
        <v>1.775</v>
      </c>
      <c r="K18" s="62">
        <f>MAX(0.226*(0.05+0.009*$E18)*G18*'Primary Sources'!$C$62*0.9,(K$33+K$38)*'Primary Sources'!D$59/2)</f>
        <v>0.31499999999999995</v>
      </c>
      <c r="L18" s="63">
        <f>MAX(0.226*(0.05+0.009*$E18)*H18*'Primary Sources'!$C$62*0.9,(L$33+L$38)*'Primary Sources'!E$59/2)</f>
        <v>90</v>
      </c>
      <c r="M18" s="227">
        <f>MAX(1.03*(0.05+0.009*$E18)*I18*'Primary Sources'!$C$62/1000*0.9,(M$33+M$38)*'Primary Sources'!F$59/2)</f>
        <v>25.5</v>
      </c>
      <c r="N18" s="758">
        <f t="shared" si="3"/>
        <v>0</v>
      </c>
      <c r="O18" s="756">
        <f t="shared" si="0"/>
        <v>0</v>
      </c>
      <c r="P18" s="756">
        <f t="shared" si="1"/>
        <v>0</v>
      </c>
      <c r="Q18" s="759">
        <f t="shared" si="2"/>
        <v>0</v>
      </c>
    </row>
    <row r="19" spans="2:17" s="1" customFormat="1" ht="12.75">
      <c r="B19" s="78">
        <f>IF('Primary Sources'!B24&gt;0,'Primary Sources'!B24,"")</f>
      </c>
      <c r="C19" s="84">
        <f>IF('Primary Sources'!C24&gt;0,'Primary Sources'!C24,"")</f>
      </c>
      <c r="D19" s="159">
        <f>'Future Land Use'!D19-'Primary Sources'!D23</f>
        <v>0</v>
      </c>
      <c r="E19" s="157">
        <f>'Primary Sources'!E24</f>
        <v>0</v>
      </c>
      <c r="F19" s="159">
        <f>'Primary Sources'!F24</f>
        <v>0</v>
      </c>
      <c r="G19" s="61">
        <f>'Primary Sources'!G24</f>
        <v>0</v>
      </c>
      <c r="H19" s="61">
        <f>'Primary Sources'!H24</f>
        <v>0</v>
      </c>
      <c r="I19" s="155">
        <f>'Primary Sources'!I24</f>
        <v>0</v>
      </c>
      <c r="J19" s="182">
        <f>MAX(0.226*(0.05+0.009*$E19)*F19*'Primary Sources'!$C$62*0.9,(J$33+J$38)*'Primary Sources'!C$59/2)</f>
        <v>1.775</v>
      </c>
      <c r="K19" s="62">
        <f>MAX(0.226*(0.05+0.009*$E19)*G19*'Primary Sources'!$C$62*0.9,(K$33+K$38)*'Primary Sources'!D$59/2)</f>
        <v>0.31499999999999995</v>
      </c>
      <c r="L19" s="63">
        <f>MAX(0.226*(0.05+0.009*$E19)*H19*'Primary Sources'!$C$62*0.9,(L$33+L$38)*'Primary Sources'!E$59/2)</f>
        <v>90</v>
      </c>
      <c r="M19" s="227">
        <f>MAX(1.03*(0.05+0.009*$E19)*I19*'Primary Sources'!$C$62/1000*0.9,(M$33+M$38)*'Primary Sources'!F$59/2)</f>
        <v>25.5</v>
      </c>
      <c r="N19" s="758">
        <f t="shared" si="3"/>
        <v>0</v>
      </c>
      <c r="O19" s="756">
        <f t="shared" si="0"/>
        <v>0</v>
      </c>
      <c r="P19" s="756">
        <f t="shared" si="1"/>
        <v>0</v>
      </c>
      <c r="Q19" s="759">
        <f t="shared" si="2"/>
        <v>0</v>
      </c>
    </row>
    <row r="20" spans="2:17" s="1" customFormat="1" ht="13.5" thickBot="1">
      <c r="B20" s="131">
        <f>IF('Primary Sources'!B25&gt;0,'Primary Sources'!B25,"")</f>
      </c>
      <c r="C20" s="193">
        <f>IF('Primary Sources'!C25&gt;0,'Primary Sources'!C25,"")</f>
      </c>
      <c r="D20" s="212">
        <f>'Future Land Use'!D20-'Primary Sources'!D24</f>
        <v>0</v>
      </c>
      <c r="E20" s="211">
        <f>'Primary Sources'!E25</f>
        <v>0</v>
      </c>
      <c r="F20" s="212">
        <f>'Primary Sources'!F25</f>
        <v>0</v>
      </c>
      <c r="G20" s="210">
        <f>'Primary Sources'!G25</f>
        <v>0</v>
      </c>
      <c r="H20" s="210">
        <f>'Primary Sources'!H25</f>
        <v>0</v>
      </c>
      <c r="I20" s="208">
        <f>'Primary Sources'!I25</f>
        <v>0</v>
      </c>
      <c r="J20" s="625">
        <f>MAX(0.226*(0.05+0.009*$E20)*F20*'Primary Sources'!$C$62*0.9,(J$33+J$38)*'Primary Sources'!C$59/2)</f>
        <v>1.775</v>
      </c>
      <c r="K20" s="626">
        <f>MAX(0.226*(0.05+0.009*$E20)*G20*'Primary Sources'!$C$62*0.9,(K$33+K$38)*'Primary Sources'!D$59/2)</f>
        <v>0.31499999999999995</v>
      </c>
      <c r="L20" s="627">
        <f>MAX(0.226*(0.05+0.009*$E20)*H20*'Primary Sources'!$C$62*0.9,(L$33+L$38)*'Primary Sources'!E$59/2)</f>
        <v>90</v>
      </c>
      <c r="M20" s="213">
        <f>MAX(1.03*(0.05+0.009*$E20)*I20*'Primary Sources'!$C$62/1000*0.9,(M$33+M$38)*'Primary Sources'!F$59/2)</f>
        <v>25.5</v>
      </c>
      <c r="N20" s="760">
        <f t="shared" si="3"/>
        <v>0</v>
      </c>
      <c r="O20" s="757">
        <f t="shared" si="0"/>
        <v>0</v>
      </c>
      <c r="P20" s="757">
        <f t="shared" si="1"/>
        <v>0</v>
      </c>
      <c r="Q20" s="761">
        <f t="shared" si="2"/>
        <v>0</v>
      </c>
    </row>
    <row r="21" spans="2:17" s="1" customFormat="1" ht="12.75">
      <c r="B21" s="76" t="str">
        <f>IF('Primary Sources'!B26&gt;0,'Primary Sources'!B26,"")</f>
        <v>Roadway</v>
      </c>
      <c r="C21" s="658">
        <f>IF('Primary Sources'!C26&gt;0,'Primary Sources'!C26,"")</f>
      </c>
      <c r="D21" s="686">
        <f>'Future Land Use'!D21-'Primary Sources'!D25</f>
        <v>0</v>
      </c>
      <c r="E21" s="659">
        <f>'Primary Sources'!E26</f>
        <v>80</v>
      </c>
      <c r="F21" s="686">
        <f>'Primary Sources'!F26</f>
        <v>2</v>
      </c>
      <c r="G21" s="660">
        <f>'Primary Sources'!G26</f>
        <v>0.26</v>
      </c>
      <c r="H21" s="660">
        <f>'Primary Sources'!H26</f>
        <v>55</v>
      </c>
      <c r="I21" s="477">
        <f>'Primary Sources'!I26</f>
        <v>20000</v>
      </c>
      <c r="J21" s="687">
        <f>MAX(0.226*(0.05+0.009*$E21)*F21*'Primary Sources'!$C$62*0.9,(J$33+J$38)*'Primary Sources'!C$59/2)</f>
        <v>1.775</v>
      </c>
      <c r="K21" s="688">
        <f>MAX(0.226*(0.05+0.009*$E21)*G21*'Primary Sources'!$C$62*0.9,(K$33+K$38)*'Primary Sources'!D$59/2)</f>
        <v>0.31499999999999995</v>
      </c>
      <c r="L21" s="689">
        <f>MAX(0.226*(0.05+0.009*$E21)*H21*'Primary Sources'!$C$62*0.9,(L$33+L$38)*'Primary Sources'!E$59/2)</f>
        <v>90</v>
      </c>
      <c r="M21" s="661">
        <v>25.5</v>
      </c>
      <c r="N21" s="762">
        <f t="shared" si="3"/>
        <v>0</v>
      </c>
      <c r="O21" s="763">
        <f t="shared" si="0"/>
        <v>0</v>
      </c>
      <c r="P21" s="763">
        <f t="shared" si="1"/>
        <v>0</v>
      </c>
      <c r="Q21" s="764">
        <f t="shared" si="2"/>
        <v>0</v>
      </c>
    </row>
    <row r="22" spans="2:17" s="1" customFormat="1" ht="12.75">
      <c r="B22" s="78">
        <f>IF('Primary Sources'!B27&gt;0,'Primary Sources'!B27,"")</f>
      </c>
      <c r="C22" s="84">
        <f>IF('Primary Sources'!C27&gt;0,'Primary Sources'!C27,"")</f>
      </c>
      <c r="D22" s="159">
        <f>'Future Land Use'!D22-'Primary Sources'!D26</f>
        <v>0</v>
      </c>
      <c r="E22" s="157">
        <f>'Primary Sources'!E27</f>
        <v>0</v>
      </c>
      <c r="F22" s="159">
        <f>'Primary Sources'!F27</f>
        <v>0</v>
      </c>
      <c r="G22" s="61">
        <f>'Primary Sources'!G27</f>
        <v>0</v>
      </c>
      <c r="H22" s="61">
        <f>'Primary Sources'!H27</f>
        <v>0</v>
      </c>
      <c r="I22" s="155">
        <f>'Primary Sources'!I27</f>
        <v>0</v>
      </c>
      <c r="J22" s="182">
        <f>MAX(0.226*(0.05+0.009*$E22)*F22*'Primary Sources'!$C$62*0.9,(J$33+J$38)*'Primary Sources'!C$59/2)</f>
        <v>1.775</v>
      </c>
      <c r="K22" s="62">
        <f>MAX(0.226*(0.05+0.009*$E22)*G22*'Primary Sources'!$C$62*0.9,(K$33+K$38)*'Primary Sources'!D$59/2)</f>
        <v>0.31499999999999995</v>
      </c>
      <c r="L22" s="63">
        <f>MAX(0.226*(0.05+0.009*$E22)*H22*'Primary Sources'!$C$62*0.9,(L$33+L$38)*'Primary Sources'!E$59/2)</f>
        <v>90</v>
      </c>
      <c r="M22" s="227">
        <v>25.5</v>
      </c>
      <c r="N22" s="758">
        <f t="shared" si="3"/>
        <v>0</v>
      </c>
      <c r="O22" s="756">
        <f t="shared" si="0"/>
        <v>0</v>
      </c>
      <c r="P22" s="756">
        <f t="shared" si="1"/>
        <v>0</v>
      </c>
      <c r="Q22" s="759">
        <f t="shared" si="2"/>
        <v>0</v>
      </c>
    </row>
    <row r="23" spans="2:17" s="1" customFormat="1" ht="12.75">
      <c r="B23" s="78">
        <f>IF('Primary Sources'!B28&gt;0,'Primary Sources'!B28,"")</f>
      </c>
      <c r="C23" s="84">
        <f>IF('Primary Sources'!C28&gt;0,'Primary Sources'!C28,"")</f>
      </c>
      <c r="D23" s="159">
        <f>'Future Land Use'!D23-'Primary Sources'!D27</f>
        <v>0</v>
      </c>
      <c r="E23" s="157">
        <f>'Primary Sources'!E28</f>
        <v>0</v>
      </c>
      <c r="F23" s="159">
        <f>'Primary Sources'!F28</f>
        <v>0</v>
      </c>
      <c r="G23" s="61">
        <f>'Primary Sources'!G28</f>
        <v>0</v>
      </c>
      <c r="H23" s="61">
        <f>'Primary Sources'!H28</f>
        <v>0</v>
      </c>
      <c r="I23" s="155">
        <f>'Primary Sources'!I28</f>
        <v>0</v>
      </c>
      <c r="J23" s="182">
        <f>MAX(0.226*(0.05+0.009*$E23)*F23*'Primary Sources'!$C$62*0.9,(J$33+J$38)*'Primary Sources'!C$59/2)</f>
        <v>1.775</v>
      </c>
      <c r="K23" s="62">
        <f>MAX(0.226*(0.05+0.009*$E23)*G23*'Primary Sources'!$C$62*0.9,(K$33+K$38)*'Primary Sources'!D$59/2)</f>
        <v>0.31499999999999995</v>
      </c>
      <c r="L23" s="63">
        <f>MAX(0.226*(0.05+0.009*$E23)*H23*'Primary Sources'!$C$62*0.9,(L$33+L$38)*'Primary Sources'!E$59/2)</f>
        <v>90</v>
      </c>
      <c r="M23" s="227">
        <v>25.5</v>
      </c>
      <c r="N23" s="758">
        <f t="shared" si="3"/>
        <v>0</v>
      </c>
      <c r="O23" s="756">
        <f t="shared" si="0"/>
        <v>0</v>
      </c>
      <c r="P23" s="756">
        <f t="shared" si="1"/>
        <v>0</v>
      </c>
      <c r="Q23" s="759">
        <f t="shared" si="2"/>
        <v>0</v>
      </c>
    </row>
    <row r="24" spans="2:17" s="1" customFormat="1" ht="12.75">
      <c r="B24" s="78">
        <f>IF('Primary Sources'!B29&gt;0,'Primary Sources'!B29,"")</f>
      </c>
      <c r="C24" s="84">
        <f>IF('Primary Sources'!C29&gt;0,'Primary Sources'!C29,"")</f>
      </c>
      <c r="D24" s="159">
        <f>'Future Land Use'!D24-'Primary Sources'!D28</f>
        <v>0</v>
      </c>
      <c r="E24" s="157">
        <f>'Primary Sources'!E29</f>
        <v>0</v>
      </c>
      <c r="F24" s="159">
        <f>'Primary Sources'!F29</f>
        <v>0</v>
      </c>
      <c r="G24" s="61">
        <f>'Primary Sources'!G29</f>
        <v>0</v>
      </c>
      <c r="H24" s="61">
        <f>'Primary Sources'!H29</f>
        <v>0</v>
      </c>
      <c r="I24" s="155">
        <f>'Primary Sources'!I29</f>
        <v>0</v>
      </c>
      <c r="J24" s="182">
        <f>MAX(0.226*(0.05+0.009*$E24)*F24*'Primary Sources'!$C$62*0.9,(J$33+J$38)*'Primary Sources'!C$59/2)</f>
        <v>1.775</v>
      </c>
      <c r="K24" s="62">
        <f>MAX(0.226*(0.05+0.009*$E24)*G24*'Primary Sources'!$C$62*0.9,(K$33+K$38)*'Primary Sources'!D$59/2)</f>
        <v>0.31499999999999995</v>
      </c>
      <c r="L24" s="63">
        <f>MAX(0.226*(0.05+0.009*$E24)*H24*'Primary Sources'!$C$62*0.9,(L$33+L$38)*'Primary Sources'!E$59/2)</f>
        <v>90</v>
      </c>
      <c r="M24" s="227">
        <v>25.5</v>
      </c>
      <c r="N24" s="758">
        <f t="shared" si="3"/>
        <v>0</v>
      </c>
      <c r="O24" s="756">
        <f t="shared" si="0"/>
        <v>0</v>
      </c>
      <c r="P24" s="756">
        <f t="shared" si="1"/>
        <v>0</v>
      </c>
      <c r="Q24" s="759">
        <f t="shared" si="2"/>
        <v>0</v>
      </c>
    </row>
    <row r="25" spans="2:17" s="1" customFormat="1" ht="13.5" thickBot="1">
      <c r="B25" s="131">
        <f>IF('Primary Sources'!B30&gt;0,'Primary Sources'!B30,"")</f>
      </c>
      <c r="C25" s="193">
        <f>IF('Primary Sources'!C30&gt;0,'Primary Sources'!C30,"")</f>
      </c>
      <c r="D25" s="212">
        <f>'Future Land Use'!D25-'Primary Sources'!D29</f>
        <v>0</v>
      </c>
      <c r="E25" s="211">
        <f>'Primary Sources'!E30</f>
        <v>0</v>
      </c>
      <c r="F25" s="212">
        <f>'Primary Sources'!F30</f>
        <v>0</v>
      </c>
      <c r="G25" s="210">
        <f>'Primary Sources'!G30</f>
        <v>0</v>
      </c>
      <c r="H25" s="210">
        <f>'Primary Sources'!H30</f>
        <v>0</v>
      </c>
      <c r="I25" s="208">
        <f>'Primary Sources'!I30</f>
        <v>0</v>
      </c>
      <c r="J25" s="625">
        <f>MAX(0.226*(0.05+0.009*$E25)*F25*'Primary Sources'!$C$62*0.9,(J$33+J$38)*'Primary Sources'!C$59/2)</f>
        <v>1.775</v>
      </c>
      <c r="K25" s="626">
        <f>MAX(0.226*(0.05+0.009*$E25)*G25*'Primary Sources'!$C$62*0.9,(K$33+K$38)*'Primary Sources'!D$59/2)</f>
        <v>0.31499999999999995</v>
      </c>
      <c r="L25" s="627">
        <f>MAX(0.226*(0.05+0.009*$E25)*H25*'Primary Sources'!$C$62*0.9,(L$33+L$38)*'Primary Sources'!E$59/2)</f>
        <v>90</v>
      </c>
      <c r="M25" s="213">
        <v>25.5</v>
      </c>
      <c r="N25" s="760">
        <f t="shared" si="3"/>
        <v>0</v>
      </c>
      <c r="O25" s="757">
        <f t="shared" si="0"/>
        <v>0</v>
      </c>
      <c r="P25" s="757">
        <f t="shared" si="1"/>
        <v>0</v>
      </c>
      <c r="Q25" s="761">
        <f t="shared" si="2"/>
        <v>0</v>
      </c>
    </row>
    <row r="26" spans="2:17" s="1" customFormat="1" ht="12.75">
      <c r="B26" s="76" t="str">
        <f>IF('Primary Sources'!B31&gt;0,'Primary Sources'!B31,"")</f>
        <v>Industrial</v>
      </c>
      <c r="C26" s="658">
        <f>IF('Primary Sources'!C31&gt;0,'Primary Sources'!C31,"")</f>
      </c>
      <c r="D26" s="686">
        <f>'Future Land Use'!D26-'Primary Sources'!D30</f>
        <v>0</v>
      </c>
      <c r="E26" s="659">
        <f>'Primary Sources'!E31</f>
        <v>53</v>
      </c>
      <c r="F26" s="686">
        <f>'Primary Sources'!F31</f>
        <v>2</v>
      </c>
      <c r="G26" s="660">
        <f>'Primary Sources'!G31</f>
        <v>0.26</v>
      </c>
      <c r="H26" s="660">
        <f>'Primary Sources'!H31</f>
        <v>55</v>
      </c>
      <c r="I26" s="477">
        <f>'Primary Sources'!I31</f>
        <v>20000</v>
      </c>
      <c r="J26" s="687">
        <f>MAX(0.226*(0.05+0.009*$E26)*F26*'Primary Sources'!$C$62*0.9,(J$33+J$38)*'Primary Sources'!C$59/2)</f>
        <v>1.775</v>
      </c>
      <c r="K26" s="688">
        <f>MAX(0.226*(0.05+0.009*$E26)*G26*'Primary Sources'!$C$62*0.9,(K$33+K$38)*'Primary Sources'!D$59/2)</f>
        <v>0.31499999999999995</v>
      </c>
      <c r="L26" s="689">
        <f>MAX(0.226*(0.05+0.009*$E26)*H26*'Primary Sources'!$C$62*0.9,(L$33+L$38)*'Primary Sources'!E$59/2)</f>
        <v>90</v>
      </c>
      <c r="M26" s="661">
        <v>25.5</v>
      </c>
      <c r="N26" s="762">
        <f t="shared" si="3"/>
        <v>0</v>
      </c>
      <c r="O26" s="763">
        <f t="shared" si="0"/>
        <v>0</v>
      </c>
      <c r="P26" s="763">
        <f t="shared" si="1"/>
        <v>0</v>
      </c>
      <c r="Q26" s="764">
        <f t="shared" si="2"/>
        <v>0</v>
      </c>
    </row>
    <row r="27" spans="2:17" s="1" customFormat="1" ht="12.75">
      <c r="B27" s="78">
        <f>IF('Primary Sources'!B32&gt;0,'Primary Sources'!B32,"")</f>
      </c>
      <c r="C27" s="84">
        <f>IF('Primary Sources'!C32&gt;0,'Primary Sources'!C32,"")</f>
      </c>
      <c r="D27" s="159">
        <f>'Future Land Use'!D27-'Primary Sources'!D31</f>
        <v>0</v>
      </c>
      <c r="E27" s="157">
        <f>'Primary Sources'!E32</f>
        <v>0</v>
      </c>
      <c r="F27" s="159">
        <f>'Primary Sources'!F32</f>
        <v>0</v>
      </c>
      <c r="G27" s="61">
        <f>'Primary Sources'!G32</f>
        <v>0</v>
      </c>
      <c r="H27" s="61">
        <f>'Primary Sources'!H32</f>
        <v>0</v>
      </c>
      <c r="I27" s="155">
        <f>'Primary Sources'!I32</f>
        <v>0</v>
      </c>
      <c r="J27" s="182">
        <f>MAX(0.226*(0.05+0.009*$E27)*F27*'Primary Sources'!$C$62*0.9,(J$33+J$38)*'Primary Sources'!C$59/2)</f>
        <v>1.775</v>
      </c>
      <c r="K27" s="62">
        <f>MAX(0.226*(0.05+0.009*$E27)*G27*'Primary Sources'!$C$62*0.9,(K$33+K$38)*'Primary Sources'!D$59/2)</f>
        <v>0.31499999999999995</v>
      </c>
      <c r="L27" s="63">
        <f>MAX(0.226*(0.05+0.009*$E27)*H27*'Primary Sources'!$C$62*0.9,(L$33+L$38)*'Primary Sources'!E$59/2)</f>
        <v>90</v>
      </c>
      <c r="M27" s="227">
        <v>25.5</v>
      </c>
      <c r="N27" s="758">
        <f>'Primary Sources'!N32</f>
        <v>0</v>
      </c>
      <c r="O27" s="756">
        <f>'Primary Sources'!O32</f>
        <v>0</v>
      </c>
      <c r="P27" s="756">
        <f>'Primary Sources'!P32</f>
        <v>0</v>
      </c>
      <c r="Q27" s="759">
        <f>'Primary Sources'!Q32</f>
        <v>0</v>
      </c>
    </row>
    <row r="28" spans="2:17" s="1" customFormat="1" ht="12.75">
      <c r="B28" s="78"/>
      <c r="C28" s="84"/>
      <c r="D28" s="159">
        <f>'Future Land Use'!D28-'Primary Sources'!D32</f>
        <v>0</v>
      </c>
      <c r="E28" s="157">
        <f>'Primary Sources'!E33</f>
        <v>0</v>
      </c>
      <c r="F28" s="159">
        <f>'Primary Sources'!F33</f>
        <v>0</v>
      </c>
      <c r="G28" s="61">
        <f>'Primary Sources'!G33</f>
        <v>0</v>
      </c>
      <c r="H28" s="61">
        <f>'Primary Sources'!H33</f>
        <v>0</v>
      </c>
      <c r="I28" s="155">
        <f>'Primary Sources'!I33</f>
        <v>0</v>
      </c>
      <c r="J28" s="182">
        <f>MAX(0.226*(0.05+0.009*$E28)*F28*'Primary Sources'!$C$62*0.9,(J$33+J$38)*'Primary Sources'!C$59/2)</f>
        <v>1.775</v>
      </c>
      <c r="K28" s="62">
        <f>MAX(0.226*(0.05+0.009*$E28)*G28*'Primary Sources'!$C$62*0.9,(K$33+K$38)*'Primary Sources'!D$59/2)</f>
        <v>0.31499999999999995</v>
      </c>
      <c r="L28" s="63">
        <f>MAX(0.226*(0.05+0.009*$E28)*H28*'Primary Sources'!$C$62*0.9,(L$33+L$38)*'Primary Sources'!E$59/2)</f>
        <v>90</v>
      </c>
      <c r="M28" s="227">
        <v>25.5</v>
      </c>
      <c r="N28" s="758">
        <f>'Primary Sources'!N33</f>
        <v>0</v>
      </c>
      <c r="O28" s="756">
        <f>'Primary Sources'!O33</f>
        <v>0</v>
      </c>
      <c r="P28" s="756">
        <f>'Primary Sources'!P33</f>
        <v>0</v>
      </c>
      <c r="Q28" s="759">
        <f>'Primary Sources'!Q33</f>
        <v>0</v>
      </c>
    </row>
    <row r="29" spans="2:17" s="1" customFormat="1" ht="12.75">
      <c r="B29" s="78"/>
      <c r="C29" s="84"/>
      <c r="D29" s="159">
        <f>'Future Land Use'!D29-'Primary Sources'!D33</f>
        <v>0</v>
      </c>
      <c r="E29" s="157">
        <f>'Primary Sources'!E34</f>
        <v>0</v>
      </c>
      <c r="F29" s="159">
        <f>'Primary Sources'!F34</f>
        <v>0</v>
      </c>
      <c r="G29" s="61">
        <f>'Primary Sources'!G34</f>
        <v>0</v>
      </c>
      <c r="H29" s="61">
        <f>'Primary Sources'!H34</f>
        <v>0</v>
      </c>
      <c r="I29" s="155">
        <f>'Primary Sources'!I34</f>
        <v>0</v>
      </c>
      <c r="J29" s="182">
        <f>MAX(0.226*(0.05+0.009*$E29)*F29*'Primary Sources'!$C$62*0.9,(J$33+J$38)*'Primary Sources'!C$59/2)</f>
        <v>1.775</v>
      </c>
      <c r="K29" s="62">
        <f>MAX(0.226*(0.05+0.009*$E29)*G29*'Primary Sources'!$C$62*0.9,(K$33+K$38)*'Primary Sources'!D$59/2)</f>
        <v>0.31499999999999995</v>
      </c>
      <c r="L29" s="63">
        <f>MAX(0.226*(0.05+0.009*$E29)*H29*'Primary Sources'!$C$62*0.9,(L$33+L$38)*'Primary Sources'!E$59/2)</f>
        <v>90</v>
      </c>
      <c r="M29" s="227">
        <v>25.5</v>
      </c>
      <c r="N29" s="758">
        <f>'Primary Sources'!N34</f>
        <v>0</v>
      </c>
      <c r="O29" s="756">
        <f>'Primary Sources'!O34</f>
        <v>0</v>
      </c>
      <c r="P29" s="756">
        <f>'Primary Sources'!P34</f>
        <v>0</v>
      </c>
      <c r="Q29" s="759">
        <f>'Primary Sources'!Q34</f>
        <v>0</v>
      </c>
    </row>
    <row r="30" spans="2:17" s="1" customFormat="1" ht="12.75">
      <c r="B30" s="78">
        <f>IF('Primary Sources'!B33&gt;0,'Primary Sources'!B33,"")</f>
      </c>
      <c r="C30" s="84">
        <f>IF('Primary Sources'!C33&gt;0,'Primary Sources'!C33,"")</f>
      </c>
      <c r="D30" s="159">
        <f>'Future Land Use'!D30-'Primary Sources'!D34</f>
        <v>0</v>
      </c>
      <c r="E30" s="157">
        <f>'Primary Sources'!E35</f>
        <v>0</v>
      </c>
      <c r="F30" s="159">
        <f>'Primary Sources'!F35</f>
        <v>0</v>
      </c>
      <c r="G30" s="61">
        <f>'Primary Sources'!G35</f>
        <v>0</v>
      </c>
      <c r="H30" s="61">
        <f>'Primary Sources'!H35</f>
        <v>0</v>
      </c>
      <c r="I30" s="155">
        <f>'Primary Sources'!I35</f>
        <v>0</v>
      </c>
      <c r="J30" s="182">
        <f>MAX(0.226*(0.05+0.009*$E30)*F30*'Primary Sources'!$C$62*0.9,(J$33+J$38)*'Primary Sources'!C$59/2)</f>
        <v>1.775</v>
      </c>
      <c r="K30" s="62">
        <f>MAX(0.226*(0.05+0.009*$E30)*G30*'Primary Sources'!$C$62*0.9,(K$33+K$38)*'Primary Sources'!D$59/2)</f>
        <v>0.31499999999999995</v>
      </c>
      <c r="L30" s="63">
        <f>MAX(0.226*(0.05+0.009*$E30)*H30*'Primary Sources'!$C$62*0.9,(L$33+L$38)*'Primary Sources'!E$59/2)</f>
        <v>90</v>
      </c>
      <c r="M30" s="227">
        <v>25.5</v>
      </c>
      <c r="N30" s="758">
        <f>'Primary Sources'!N35</f>
        <v>0</v>
      </c>
      <c r="O30" s="756">
        <f>'Primary Sources'!O35</f>
        <v>0</v>
      </c>
      <c r="P30" s="756">
        <f>'Primary Sources'!P35</f>
        <v>0</v>
      </c>
      <c r="Q30" s="759">
        <f>'Primary Sources'!Q35</f>
        <v>0</v>
      </c>
    </row>
    <row r="31" spans="2:17" s="220" customFormat="1" ht="13.5" thickBot="1">
      <c r="B31" s="250"/>
      <c r="C31" s="690"/>
      <c r="D31" s="490"/>
      <c r="E31" s="690"/>
      <c r="F31" s="490"/>
      <c r="G31" s="262"/>
      <c r="H31" s="262"/>
      <c r="I31" s="691"/>
      <c r="J31" s="692"/>
      <c r="K31" s="693"/>
      <c r="L31" s="694"/>
      <c r="M31" s="695"/>
      <c r="N31" s="765"/>
      <c r="O31" s="766"/>
      <c r="P31" s="766"/>
      <c r="Q31" s="767"/>
    </row>
    <row r="32" spans="2:17" s="1" customFormat="1" ht="13.5" thickTop="1">
      <c r="B32" s="248"/>
      <c r="C32" s="654"/>
      <c r="D32" s="655" t="s">
        <v>195</v>
      </c>
      <c r="E32" s="654"/>
      <c r="F32" s="655"/>
      <c r="G32" s="452"/>
      <c r="H32" s="452"/>
      <c r="I32" s="656"/>
      <c r="J32" s="657"/>
      <c r="K32" s="452"/>
      <c r="L32" s="452"/>
      <c r="M32" s="656"/>
      <c r="N32" s="768"/>
      <c r="O32" s="769"/>
      <c r="P32" s="769"/>
      <c r="Q32" s="770"/>
    </row>
    <row r="33" spans="2:17" s="1" customFormat="1" ht="12.75">
      <c r="B33" s="78" t="str">
        <f>IF('Primary Sources'!B36&gt;0,'Primary Sources'!B36,"")</f>
        <v>Forest</v>
      </c>
      <c r="C33" s="84">
        <f>IF('Primary Sources'!C36&gt;0,'Primary Sources'!C36,"")</f>
      </c>
      <c r="D33" s="159">
        <f>'Future Land Use'!D32-'Primary Sources'!D36</f>
        <v>0</v>
      </c>
      <c r="E33" s="155"/>
      <c r="F33" s="183"/>
      <c r="G33" s="61"/>
      <c r="H33" s="61"/>
      <c r="I33" s="157"/>
      <c r="J33" s="159">
        <f>'Primary Sources'!J36</f>
        <v>2.5</v>
      </c>
      <c r="K33" s="61">
        <f>'Primary Sources'!K36</f>
        <v>0.2</v>
      </c>
      <c r="L33" s="61">
        <f>'Primary Sources'!L36</f>
        <v>100</v>
      </c>
      <c r="M33" s="155">
        <f>'Primary Sources'!M36</f>
        <v>12</v>
      </c>
      <c r="N33" s="771">
        <f t="shared" si="3"/>
        <v>0</v>
      </c>
      <c r="O33" s="756">
        <f t="shared" si="0"/>
        <v>0</v>
      </c>
      <c r="P33" s="756">
        <f t="shared" si="1"/>
        <v>0</v>
      </c>
      <c r="Q33" s="759">
        <f t="shared" si="2"/>
        <v>0</v>
      </c>
    </row>
    <row r="34" spans="2:17" s="1" customFormat="1" ht="12.75">
      <c r="B34" s="144">
        <f>IF('Primary Sources'!B37&gt;0,'Primary Sources'!B37,"")</f>
      </c>
      <c r="C34" s="186">
        <f>IF('Primary Sources'!C37&gt;0,'Primary Sources'!C37,"")</f>
      </c>
      <c r="D34" s="163">
        <f>'Future Land Use'!D33-'Primary Sources'!D37</f>
        <v>0</v>
      </c>
      <c r="E34" s="165"/>
      <c r="F34" s="184"/>
      <c r="G34" s="164"/>
      <c r="H34" s="164"/>
      <c r="I34" s="162"/>
      <c r="J34" s="163">
        <f>'Primary Sources'!J37</f>
        <v>0</v>
      </c>
      <c r="K34" s="164">
        <f>'Primary Sources'!K37</f>
        <v>0</v>
      </c>
      <c r="L34" s="164">
        <f>'Primary Sources'!L37</f>
        <v>0</v>
      </c>
      <c r="M34" s="165">
        <f>'Primary Sources'!M37</f>
        <v>0</v>
      </c>
      <c r="N34" s="772">
        <f t="shared" si="3"/>
        <v>0</v>
      </c>
      <c r="O34" s="773">
        <f t="shared" si="0"/>
        <v>0</v>
      </c>
      <c r="P34" s="773">
        <f t="shared" si="1"/>
        <v>0</v>
      </c>
      <c r="Q34" s="774">
        <f t="shared" si="2"/>
        <v>0</v>
      </c>
    </row>
    <row r="35" spans="2:17" s="1" customFormat="1" ht="12.75">
      <c r="B35" s="144">
        <f>IF('Primary Sources'!B38&gt;0,'Primary Sources'!B38,"")</f>
      </c>
      <c r="C35" s="186">
        <f>IF('Primary Sources'!C38&gt;0,'Primary Sources'!C38,"")</f>
      </c>
      <c r="D35" s="163">
        <f>'Future Land Use'!D34-'Primary Sources'!D38</f>
        <v>0</v>
      </c>
      <c r="E35" s="165"/>
      <c r="F35" s="184"/>
      <c r="G35" s="164"/>
      <c r="H35" s="164"/>
      <c r="I35" s="162"/>
      <c r="J35" s="163">
        <f>'Primary Sources'!J38</f>
        <v>0</v>
      </c>
      <c r="K35" s="164">
        <f>'Primary Sources'!K38</f>
        <v>0</v>
      </c>
      <c r="L35" s="164">
        <f>'Primary Sources'!L38</f>
        <v>0</v>
      </c>
      <c r="M35" s="165">
        <f>'Primary Sources'!M38</f>
        <v>0</v>
      </c>
      <c r="N35" s="772">
        <f t="shared" si="3"/>
        <v>0</v>
      </c>
      <c r="O35" s="773">
        <f t="shared" si="0"/>
        <v>0</v>
      </c>
      <c r="P35" s="773">
        <f t="shared" si="1"/>
        <v>0</v>
      </c>
      <c r="Q35" s="774">
        <f t="shared" si="2"/>
        <v>0</v>
      </c>
    </row>
    <row r="36" spans="2:17" s="1" customFormat="1" ht="12.75">
      <c r="B36" s="144">
        <f>IF('Primary Sources'!B39&gt;0,'Primary Sources'!B39,"")</f>
      </c>
      <c r="C36" s="186">
        <f>IF('Primary Sources'!C39&gt;0,'Primary Sources'!C39,"")</f>
      </c>
      <c r="D36" s="163">
        <f>'Future Land Use'!D35-'Primary Sources'!D39</f>
        <v>0</v>
      </c>
      <c r="E36" s="165"/>
      <c r="F36" s="184"/>
      <c r="G36" s="164"/>
      <c r="H36" s="164"/>
      <c r="I36" s="162"/>
      <c r="J36" s="163">
        <f>'Primary Sources'!J39</f>
        <v>0</v>
      </c>
      <c r="K36" s="164">
        <f>'Primary Sources'!K39</f>
        <v>0</v>
      </c>
      <c r="L36" s="164">
        <f>'Primary Sources'!L39</f>
        <v>0</v>
      </c>
      <c r="M36" s="165">
        <f>'Primary Sources'!M39</f>
        <v>0</v>
      </c>
      <c r="N36" s="772">
        <f t="shared" si="3"/>
        <v>0</v>
      </c>
      <c r="O36" s="773">
        <f t="shared" si="0"/>
        <v>0</v>
      </c>
      <c r="P36" s="773">
        <f t="shared" si="1"/>
        <v>0</v>
      </c>
      <c r="Q36" s="774">
        <f t="shared" si="2"/>
        <v>0</v>
      </c>
    </row>
    <row r="37" spans="2:17" s="1" customFormat="1" ht="13.5" thickBot="1">
      <c r="B37" s="144">
        <f>IF('Primary Sources'!B40&gt;0,'Primary Sources'!B40,"")</f>
      </c>
      <c r="C37" s="186">
        <f>IF('Primary Sources'!C40&gt;0,'Primary Sources'!C40,"")</f>
      </c>
      <c r="D37" s="163">
        <f>'Future Land Use'!D36-'Primary Sources'!D40</f>
        <v>0</v>
      </c>
      <c r="E37" s="165"/>
      <c r="F37" s="184"/>
      <c r="G37" s="164"/>
      <c r="H37" s="164"/>
      <c r="I37" s="162"/>
      <c r="J37" s="163">
        <f>'Primary Sources'!J40</f>
        <v>0</v>
      </c>
      <c r="K37" s="164">
        <f>'Primary Sources'!K40</f>
        <v>0</v>
      </c>
      <c r="L37" s="164">
        <f>'Primary Sources'!L40</f>
        <v>0</v>
      </c>
      <c r="M37" s="165">
        <f>'Primary Sources'!M40</f>
        <v>0</v>
      </c>
      <c r="N37" s="772">
        <f t="shared" si="3"/>
        <v>0</v>
      </c>
      <c r="O37" s="773">
        <f t="shared" si="0"/>
        <v>0</v>
      </c>
      <c r="P37" s="773">
        <f t="shared" si="1"/>
        <v>0</v>
      </c>
      <c r="Q37" s="774">
        <f t="shared" si="2"/>
        <v>0</v>
      </c>
    </row>
    <row r="38" spans="2:17" s="1" customFormat="1" ht="12.75">
      <c r="B38" s="41" t="str">
        <f>IF('Primary Sources'!B41&gt;0,'Primary Sources'!B41,"")</f>
        <v>Rural</v>
      </c>
      <c r="C38" s="87">
        <f>IF('Primary Sources'!C41&gt;0,'Primary Sources'!C41,"")</f>
      </c>
      <c r="D38" s="662">
        <f>'Future Land Use'!D37-'Primary Sources'!D41</f>
        <v>0</v>
      </c>
      <c r="E38" s="153"/>
      <c r="F38" s="158"/>
      <c r="G38" s="57"/>
      <c r="H38" s="57"/>
      <c r="I38" s="153"/>
      <c r="J38" s="158">
        <f>'Primary Sources'!J41</f>
        <v>4.6</v>
      </c>
      <c r="K38" s="57">
        <f>'Primary Sources'!K41</f>
        <v>0.7</v>
      </c>
      <c r="L38" s="57">
        <f>'Primary Sources'!L41</f>
        <v>100</v>
      </c>
      <c r="M38" s="663">
        <f>'Primary Sources'!M41</f>
        <v>39</v>
      </c>
      <c r="N38" s="775">
        <f t="shared" si="3"/>
        <v>0</v>
      </c>
      <c r="O38" s="776">
        <f t="shared" si="0"/>
        <v>0</v>
      </c>
      <c r="P38" s="776">
        <f t="shared" si="1"/>
        <v>0</v>
      </c>
      <c r="Q38" s="777">
        <f t="shared" si="2"/>
        <v>0</v>
      </c>
    </row>
    <row r="39" spans="2:17" s="1" customFormat="1" ht="12.75">
      <c r="B39" s="78">
        <f>IF('Primary Sources'!B42&gt;0,'Primary Sources'!B42,"")</f>
      </c>
      <c r="C39" s="79">
        <f>IF('Primary Sources'!C42&gt;0,'Primary Sources'!C42,"")</f>
      </c>
      <c r="D39" s="681">
        <f>'Future Land Use'!D38-'Primary Sources'!D42</f>
        <v>0</v>
      </c>
      <c r="E39" s="155"/>
      <c r="F39" s="159"/>
      <c r="G39" s="61"/>
      <c r="H39" s="61"/>
      <c r="I39" s="155"/>
      <c r="J39" s="159">
        <f>'Primary Sources'!J42</f>
        <v>0</v>
      </c>
      <c r="K39" s="61">
        <f>'Primary Sources'!K42</f>
        <v>0</v>
      </c>
      <c r="L39" s="61">
        <f>'Primary Sources'!L42</f>
        <v>0</v>
      </c>
      <c r="M39" s="227">
        <f>'Primary Sources'!M42</f>
        <v>0</v>
      </c>
      <c r="N39" s="758">
        <f t="shared" si="3"/>
        <v>0</v>
      </c>
      <c r="O39" s="756">
        <f t="shared" si="0"/>
        <v>0</v>
      </c>
      <c r="P39" s="756">
        <f t="shared" si="1"/>
        <v>0</v>
      </c>
      <c r="Q39" s="759">
        <f t="shared" si="2"/>
        <v>0</v>
      </c>
    </row>
    <row r="40" spans="2:17" s="1" customFormat="1" ht="12.75">
      <c r="B40" s="78">
        <f>IF('Primary Sources'!B43&gt;0,'Primary Sources'!B43,"")</f>
      </c>
      <c r="C40" s="79">
        <f>IF('Primary Sources'!C43&gt;0,'Primary Sources'!C43,"")</f>
      </c>
      <c r="D40" s="681">
        <f>'Future Land Use'!D39-'Primary Sources'!D43</f>
        <v>0</v>
      </c>
      <c r="E40" s="155"/>
      <c r="F40" s="159"/>
      <c r="G40" s="61"/>
      <c r="H40" s="61"/>
      <c r="I40" s="155"/>
      <c r="J40" s="159">
        <f>'Primary Sources'!J43</f>
        <v>0</v>
      </c>
      <c r="K40" s="61">
        <f>'Primary Sources'!K43</f>
        <v>0</v>
      </c>
      <c r="L40" s="61">
        <f>'Primary Sources'!L43</f>
        <v>0</v>
      </c>
      <c r="M40" s="227">
        <f>'Primary Sources'!M43</f>
        <v>0</v>
      </c>
      <c r="N40" s="758">
        <f t="shared" si="3"/>
        <v>0</v>
      </c>
      <c r="O40" s="756">
        <f t="shared" si="0"/>
        <v>0</v>
      </c>
      <c r="P40" s="756">
        <f t="shared" si="1"/>
        <v>0</v>
      </c>
      <c r="Q40" s="759">
        <f t="shared" si="2"/>
        <v>0</v>
      </c>
    </row>
    <row r="41" spans="2:17" s="1" customFormat="1" ht="12.75">
      <c r="B41" s="78">
        <f>IF('Primary Sources'!B44&gt;0,'Primary Sources'!B44,"")</f>
      </c>
      <c r="C41" s="79">
        <f>IF('Primary Sources'!C44&gt;0,'Primary Sources'!C44,"")</f>
      </c>
      <c r="D41" s="681">
        <f>'Future Land Use'!D40-'Primary Sources'!D44</f>
        <v>0</v>
      </c>
      <c r="E41" s="155"/>
      <c r="F41" s="159"/>
      <c r="G41" s="61"/>
      <c r="H41" s="61"/>
      <c r="I41" s="155"/>
      <c r="J41" s="159">
        <f>'Primary Sources'!J44</f>
        <v>0</v>
      </c>
      <c r="K41" s="61">
        <f>'Primary Sources'!K44</f>
        <v>0</v>
      </c>
      <c r="L41" s="61">
        <f>'Primary Sources'!L44</f>
        <v>0</v>
      </c>
      <c r="M41" s="227">
        <f>'Primary Sources'!M44</f>
        <v>0</v>
      </c>
      <c r="N41" s="758">
        <f t="shared" si="3"/>
        <v>0</v>
      </c>
      <c r="O41" s="756">
        <f t="shared" si="0"/>
        <v>0</v>
      </c>
      <c r="P41" s="756">
        <f t="shared" si="1"/>
        <v>0</v>
      </c>
      <c r="Q41" s="759">
        <f t="shared" si="2"/>
        <v>0</v>
      </c>
    </row>
    <row r="42" spans="2:17" s="1" customFormat="1" ht="12.75">
      <c r="B42" s="78">
        <f>IF('Primary Sources'!B45&gt;0,'Primary Sources'!B45,"")</f>
      </c>
      <c r="C42" s="79">
        <f>IF('Primary Sources'!C45&gt;0,'Primary Sources'!C45,"")</f>
      </c>
      <c r="D42" s="681">
        <f>'Future Land Use'!D41-'Primary Sources'!D45</f>
        <v>0</v>
      </c>
      <c r="E42" s="155"/>
      <c r="F42" s="159"/>
      <c r="G42" s="61"/>
      <c r="H42" s="61"/>
      <c r="I42" s="155"/>
      <c r="J42" s="159">
        <f>'Primary Sources'!J45</f>
        <v>0</v>
      </c>
      <c r="K42" s="61">
        <f>'Primary Sources'!K45</f>
        <v>0</v>
      </c>
      <c r="L42" s="61">
        <f>'Primary Sources'!L45</f>
        <v>0</v>
      </c>
      <c r="M42" s="227">
        <f>'Primary Sources'!M45</f>
        <v>0</v>
      </c>
      <c r="N42" s="758">
        <f t="shared" si="3"/>
        <v>0</v>
      </c>
      <c r="O42" s="756">
        <f t="shared" si="0"/>
        <v>0</v>
      </c>
      <c r="P42" s="756">
        <f t="shared" si="1"/>
        <v>0</v>
      </c>
      <c r="Q42" s="759">
        <f t="shared" si="2"/>
        <v>0</v>
      </c>
    </row>
    <row r="43" spans="2:17" s="1" customFormat="1" ht="12.75">
      <c r="B43" s="78">
        <f>IF('Primary Sources'!B46&gt;0,'Primary Sources'!B46,"")</f>
      </c>
      <c r="C43" s="79">
        <f>IF('Primary Sources'!C46&gt;0,'Primary Sources'!C46,"")</f>
      </c>
      <c r="D43" s="681">
        <f>'Future Land Use'!D42-'Primary Sources'!D46</f>
        <v>0</v>
      </c>
      <c r="E43" s="155"/>
      <c r="F43" s="159"/>
      <c r="G43" s="61"/>
      <c r="H43" s="61"/>
      <c r="I43" s="155"/>
      <c r="J43" s="159">
        <f>'Primary Sources'!J46</f>
        <v>0</v>
      </c>
      <c r="K43" s="61">
        <f>'Primary Sources'!K46</f>
        <v>0</v>
      </c>
      <c r="L43" s="61">
        <f>'Primary Sources'!L46</f>
        <v>0</v>
      </c>
      <c r="M43" s="227">
        <f>'Primary Sources'!M46</f>
        <v>0</v>
      </c>
      <c r="N43" s="758">
        <f t="shared" si="3"/>
        <v>0</v>
      </c>
      <c r="O43" s="756">
        <f t="shared" si="0"/>
        <v>0</v>
      </c>
      <c r="P43" s="756">
        <f t="shared" si="1"/>
        <v>0</v>
      </c>
      <c r="Q43" s="759">
        <f t="shared" si="2"/>
        <v>0</v>
      </c>
    </row>
    <row r="44" spans="2:17" s="1" customFormat="1" ht="12.75">
      <c r="B44" s="78">
        <f>IF('Primary Sources'!B47&gt;0,'Primary Sources'!B47,"")</f>
      </c>
      <c r="C44" s="79">
        <f>IF('Primary Sources'!C47&gt;0,'Primary Sources'!C47,"")</f>
      </c>
      <c r="D44" s="681">
        <f>'Future Land Use'!D43-'Primary Sources'!D47</f>
        <v>0</v>
      </c>
      <c r="E44" s="155"/>
      <c r="F44" s="159"/>
      <c r="G44" s="61"/>
      <c r="H44" s="61"/>
      <c r="I44" s="155"/>
      <c r="J44" s="159">
        <f>'Primary Sources'!J47</f>
        <v>0</v>
      </c>
      <c r="K44" s="61">
        <f>'Primary Sources'!K47</f>
        <v>0</v>
      </c>
      <c r="L44" s="61">
        <f>'Primary Sources'!L47</f>
        <v>0</v>
      </c>
      <c r="M44" s="227">
        <f>'Primary Sources'!M47</f>
        <v>0</v>
      </c>
      <c r="N44" s="758">
        <f t="shared" si="3"/>
        <v>0</v>
      </c>
      <c r="O44" s="756">
        <f t="shared" si="0"/>
        <v>0</v>
      </c>
      <c r="P44" s="756">
        <f t="shared" si="1"/>
        <v>0</v>
      </c>
      <c r="Q44" s="759">
        <f t="shared" si="2"/>
        <v>0</v>
      </c>
    </row>
    <row r="45" spans="2:17" s="1" customFormat="1" ht="12.75">
      <c r="B45" s="78">
        <f>IF('Primary Sources'!B48&gt;0,'Primary Sources'!B48,"")</f>
      </c>
      <c r="C45" s="79">
        <f>IF('Primary Sources'!C48&gt;0,'Primary Sources'!C48,"")</f>
      </c>
      <c r="D45" s="681">
        <f>'Future Land Use'!D44-'Primary Sources'!D48</f>
        <v>0</v>
      </c>
      <c r="E45" s="155"/>
      <c r="F45" s="159"/>
      <c r="G45" s="61"/>
      <c r="H45" s="61"/>
      <c r="I45" s="155"/>
      <c r="J45" s="159">
        <f>'Primary Sources'!J48</f>
        <v>0</v>
      </c>
      <c r="K45" s="61">
        <f>'Primary Sources'!K48</f>
        <v>0</v>
      </c>
      <c r="L45" s="61">
        <f>'Primary Sources'!L48</f>
        <v>0</v>
      </c>
      <c r="M45" s="227">
        <f>'Primary Sources'!M48</f>
        <v>0</v>
      </c>
      <c r="N45" s="758">
        <f t="shared" si="3"/>
        <v>0</v>
      </c>
      <c r="O45" s="756">
        <f t="shared" si="0"/>
        <v>0</v>
      </c>
      <c r="P45" s="756">
        <f t="shared" si="1"/>
        <v>0</v>
      </c>
      <c r="Q45" s="759">
        <f t="shared" si="2"/>
        <v>0</v>
      </c>
    </row>
    <row r="46" spans="2:17" s="1" customFormat="1" ht="12.75">
      <c r="B46" s="78">
        <f>IF('Primary Sources'!B49&gt;0,'Primary Sources'!B49,"")</f>
      </c>
      <c r="C46" s="79">
        <f>IF('Primary Sources'!C49&gt;0,'Primary Sources'!C49,"")</f>
      </c>
      <c r="D46" s="681">
        <f>'Future Land Use'!D45-'Primary Sources'!D49</f>
        <v>0</v>
      </c>
      <c r="E46" s="155"/>
      <c r="F46" s="159"/>
      <c r="G46" s="61"/>
      <c r="H46" s="61"/>
      <c r="I46" s="155"/>
      <c r="J46" s="159">
        <f>'Primary Sources'!J49</f>
        <v>0</v>
      </c>
      <c r="K46" s="61">
        <f>'Primary Sources'!K49</f>
        <v>0</v>
      </c>
      <c r="L46" s="61">
        <f>'Primary Sources'!L49</f>
        <v>0</v>
      </c>
      <c r="M46" s="227">
        <f>'Primary Sources'!M49</f>
        <v>0</v>
      </c>
      <c r="N46" s="758">
        <f t="shared" si="3"/>
        <v>0</v>
      </c>
      <c r="O46" s="756">
        <f t="shared" si="0"/>
        <v>0</v>
      </c>
      <c r="P46" s="756">
        <f t="shared" si="1"/>
        <v>0</v>
      </c>
      <c r="Q46" s="759">
        <f t="shared" si="2"/>
        <v>0</v>
      </c>
    </row>
    <row r="47" spans="2:17" s="1" customFormat="1" ht="12.75">
      <c r="B47" s="78">
        <f>IF('Primary Sources'!B50&gt;0,'Primary Sources'!B50,"")</f>
      </c>
      <c r="C47" s="79">
        <f>IF('Primary Sources'!C50&gt;0,'Primary Sources'!C50,"")</f>
      </c>
      <c r="D47" s="681">
        <f>'Future Land Use'!D46-'Primary Sources'!D50</f>
        <v>0</v>
      </c>
      <c r="E47" s="155"/>
      <c r="F47" s="159"/>
      <c r="G47" s="61"/>
      <c r="H47" s="61"/>
      <c r="I47" s="155"/>
      <c r="J47" s="159">
        <f>'Primary Sources'!J50</f>
        <v>0</v>
      </c>
      <c r="K47" s="61">
        <f>'Primary Sources'!K50</f>
        <v>0</v>
      </c>
      <c r="L47" s="61">
        <f>'Primary Sources'!L50</f>
        <v>0</v>
      </c>
      <c r="M47" s="227">
        <f>'Primary Sources'!M50</f>
        <v>0</v>
      </c>
      <c r="N47" s="758">
        <f t="shared" si="3"/>
        <v>0</v>
      </c>
      <c r="O47" s="756">
        <f t="shared" si="0"/>
        <v>0</v>
      </c>
      <c r="P47" s="756">
        <f t="shared" si="1"/>
        <v>0</v>
      </c>
      <c r="Q47" s="759">
        <f t="shared" si="2"/>
        <v>0</v>
      </c>
    </row>
    <row r="48" spans="2:17" s="220" customFormat="1" ht="12.75">
      <c r="B48" s="217"/>
      <c r="C48" s="219"/>
      <c r="D48" s="214"/>
      <c r="E48" s="219"/>
      <c r="F48" s="214"/>
      <c r="G48" s="218"/>
      <c r="H48" s="218"/>
      <c r="I48" s="219"/>
      <c r="J48" s="214"/>
      <c r="K48" s="218"/>
      <c r="L48" s="218"/>
      <c r="M48" s="228"/>
      <c r="N48" s="778"/>
      <c r="O48" s="779"/>
      <c r="P48" s="779"/>
      <c r="Q48" s="780"/>
    </row>
    <row r="49" spans="2:17" s="220" customFormat="1" ht="13.5" thickBot="1">
      <c r="B49" s="682"/>
      <c r="C49" s="683"/>
      <c r="D49" s="684"/>
      <c r="E49" s="683"/>
      <c r="F49" s="684"/>
      <c r="G49" s="242"/>
      <c r="H49" s="242"/>
      <c r="I49" s="683"/>
      <c r="J49" s="684"/>
      <c r="K49" s="242"/>
      <c r="L49" s="242"/>
      <c r="M49" s="685"/>
      <c r="N49" s="781"/>
      <c r="O49" s="782"/>
      <c r="P49" s="782"/>
      <c r="Q49" s="783"/>
    </row>
    <row r="50" spans="2:17" s="1" customFormat="1" ht="12.75">
      <c r="B50" s="41"/>
      <c r="C50" s="42"/>
      <c r="D50" s="235"/>
      <c r="E50" s="235"/>
      <c r="F50" s="235"/>
      <c r="G50" s="235"/>
      <c r="H50" s="235"/>
      <c r="I50" s="235"/>
      <c r="J50" s="235"/>
      <c r="K50" s="235"/>
      <c r="L50" s="235"/>
      <c r="M50" s="236"/>
      <c r="N50" s="784"/>
      <c r="O50" s="776"/>
      <c r="P50" s="776"/>
      <c r="Q50" s="777"/>
    </row>
    <row r="51" spans="2:17" s="1" customFormat="1" ht="12.75">
      <c r="B51" s="78" t="s">
        <v>346</v>
      </c>
      <c r="C51" s="83">
        <v>0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8"/>
      <c r="N51" s="755"/>
      <c r="O51" s="756"/>
      <c r="P51" s="756"/>
      <c r="Q51" s="759"/>
    </row>
    <row r="52" spans="2:17" s="1" customFormat="1" ht="12.75">
      <c r="B52" s="78"/>
      <c r="C52" s="237" t="s">
        <v>184</v>
      </c>
      <c r="D52" s="237" t="s">
        <v>185</v>
      </c>
      <c r="E52" s="237" t="s">
        <v>6</v>
      </c>
      <c r="F52" s="237" t="s">
        <v>8</v>
      </c>
      <c r="G52" s="237"/>
      <c r="H52" s="237"/>
      <c r="I52" s="237"/>
      <c r="J52" s="237"/>
      <c r="K52" s="237"/>
      <c r="L52" s="237"/>
      <c r="M52" s="243"/>
      <c r="N52" s="755"/>
      <c r="O52" s="756"/>
      <c r="P52" s="756"/>
      <c r="Q52" s="759"/>
    </row>
    <row r="53" spans="2:17" s="1" customFormat="1" ht="12.75">
      <c r="B53" s="78" t="s">
        <v>209</v>
      </c>
      <c r="C53" s="239">
        <f>IF('Future Management Practices'!C210&gt;0,'Future Management Practices'!C210,'Future Management Practices'!C211)</f>
        <v>0.6666666666666667</v>
      </c>
      <c r="D53" s="239">
        <f>IF('Future Management Practices'!D210&gt;0,'Future Management Practices'!D210,'Future Management Practices'!D211)</f>
        <v>1</v>
      </c>
      <c r="E53" s="239">
        <f>IF('Future Management Practices'!E210&gt;0,'Future Management Practices'!E210,'Future Management Practices'!E211)</f>
        <v>1</v>
      </c>
      <c r="F53" s="239">
        <f>IF('Future Management Practices'!F210&gt;0,'Future Management Practices'!F210,'Future Management Practices'!F211)</f>
        <v>1</v>
      </c>
      <c r="G53" s="237"/>
      <c r="H53" s="237"/>
      <c r="I53" s="237"/>
      <c r="J53" s="237"/>
      <c r="K53" s="237"/>
      <c r="L53" s="237"/>
      <c r="M53" s="243"/>
      <c r="N53" s="755"/>
      <c r="O53" s="756"/>
      <c r="P53" s="756"/>
      <c r="Q53" s="759"/>
    </row>
    <row r="54" spans="2:17" s="1" customFormat="1" ht="13.5" thickBot="1">
      <c r="B54" s="131" t="s">
        <v>210</v>
      </c>
      <c r="C54" s="543">
        <f>'Secondary Sources'!E17</f>
        <v>0.3</v>
      </c>
      <c r="D54" s="240"/>
      <c r="E54" s="240"/>
      <c r="F54" s="240"/>
      <c r="G54" s="240"/>
      <c r="H54" s="240"/>
      <c r="I54" s="240"/>
      <c r="J54" s="240"/>
      <c r="K54" s="240"/>
      <c r="L54" s="240"/>
      <c r="M54" s="244" t="s">
        <v>211</v>
      </c>
      <c r="N54" s="785">
        <f>$C51*'Secondary Sources'!$E3*'Secondary Sources'!$E4/327.9*'Secondary Sources'!$E6*('New Development'!$C54+(1-'New Development'!$C54)*(1-'New Development'!C53))</f>
        <v>0</v>
      </c>
      <c r="O54" s="757">
        <f>$C51*'Secondary Sources'!$E3*'Secondary Sources'!$E4/327.9*'Secondary Sources'!$E7*('New Development'!$C54+(1-'New Development'!$C54)*(1-'New Development'!D53))</f>
        <v>0</v>
      </c>
      <c r="P54" s="757">
        <f>$C51*'Secondary Sources'!$E3*'Secondary Sources'!$E4/327.9*'Secondary Sources'!$E8*('New Development'!$C54+(1-'New Development'!$C54)*(1-'New Development'!E53))</f>
        <v>0</v>
      </c>
      <c r="Q54" s="761">
        <f>$C51*'Secondary Sources'!$E3*'Secondary Sources'!$E4/72480*'Secondary Sources'!$E9*('New Development'!$C54+(1-'New Development'!$C54)*(1-'New Development'!F53))</f>
        <v>0</v>
      </c>
    </row>
    <row r="55" spans="2:17" s="1" customFormat="1" ht="12.75">
      <c r="B55" s="382"/>
      <c r="C55" s="736"/>
      <c r="D55" s="734"/>
      <c r="E55" s="734"/>
      <c r="F55" s="734"/>
      <c r="G55" s="734"/>
      <c r="H55" s="734"/>
      <c r="I55" s="734"/>
      <c r="J55" s="734"/>
      <c r="K55" s="734"/>
      <c r="L55" s="734"/>
      <c r="M55" s="735"/>
      <c r="N55" s="786"/>
      <c r="O55" s="787"/>
      <c r="P55" s="787"/>
      <c r="Q55" s="788"/>
    </row>
    <row r="56" spans="2:17" s="1" customFormat="1" ht="12.75">
      <c r="B56" s="382" t="s">
        <v>347</v>
      </c>
      <c r="C56" s="928"/>
      <c r="D56" s="734"/>
      <c r="E56" s="734"/>
      <c r="F56" s="734"/>
      <c r="G56" s="734"/>
      <c r="H56" s="734"/>
      <c r="I56" s="734"/>
      <c r="J56" s="734"/>
      <c r="K56" s="734"/>
      <c r="L56" s="734"/>
      <c r="M56" s="735"/>
      <c r="N56" s="786"/>
      <c r="O56" s="787"/>
      <c r="P56" s="787"/>
      <c r="Q56" s="788"/>
    </row>
    <row r="57" spans="2:17" s="1" customFormat="1" ht="12.75">
      <c r="B57" s="382"/>
      <c r="C57" s="237" t="s">
        <v>184</v>
      </c>
      <c r="D57" s="237" t="s">
        <v>185</v>
      </c>
      <c r="E57" s="237" t="s">
        <v>6</v>
      </c>
      <c r="F57" s="237" t="s">
        <v>8</v>
      </c>
      <c r="G57" s="734"/>
      <c r="H57" s="734"/>
      <c r="I57" s="734"/>
      <c r="J57" s="734"/>
      <c r="K57" s="734"/>
      <c r="L57" s="734"/>
      <c r="M57" s="735"/>
      <c r="N57" s="786"/>
      <c r="O57" s="787"/>
      <c r="P57" s="787"/>
      <c r="Q57" s="788"/>
    </row>
    <row r="58" spans="2:17" s="1" customFormat="1" ht="12.75">
      <c r="B58" s="382" t="s">
        <v>335</v>
      </c>
      <c r="C58" s="978"/>
      <c r="D58" s="978"/>
      <c r="E58" s="978"/>
      <c r="F58" s="978"/>
      <c r="G58" s="734"/>
      <c r="H58" s="734"/>
      <c r="I58" s="734"/>
      <c r="J58" s="734"/>
      <c r="K58" s="734"/>
      <c r="L58" s="734"/>
      <c r="M58" s="735" t="s">
        <v>322</v>
      </c>
      <c r="N58" s="786">
        <f>'Secondary Sources'!$E6*'Secondary Sources'!$E3*'Secondary Sources'!$E4*365/1000/454*3.78*$C56*(1-C58)</f>
        <v>0</v>
      </c>
      <c r="O58" s="787">
        <f>'Secondary Sources'!$E7*'Secondary Sources'!$E3*'Secondary Sources'!$E4*365/1000/454*3.78*$C56*(1-D58)</f>
        <v>0</v>
      </c>
      <c r="P58" s="787">
        <f>'Secondary Sources'!$E8*'Secondary Sources'!$E3*'Secondary Sources'!$E4*365/1000/454*3.78*$C56*(1-E58)</f>
        <v>0</v>
      </c>
      <c r="Q58" s="788">
        <f>'Secondary Sources'!$E9*'Secondary Sources'!$E3*'Secondary Sources'!$E4*365/100000000*$C56*(1-F58)</f>
        <v>0</v>
      </c>
    </row>
    <row r="59" spans="2:17" s="1" customFormat="1" ht="13.5" thickBot="1">
      <c r="B59" s="382"/>
      <c r="C59" s="736"/>
      <c r="D59" s="734"/>
      <c r="E59" s="734"/>
      <c r="F59" s="734"/>
      <c r="G59" s="734"/>
      <c r="H59" s="734"/>
      <c r="I59" s="734"/>
      <c r="J59" s="734"/>
      <c r="K59" s="734"/>
      <c r="L59" s="734"/>
      <c r="M59" s="735"/>
      <c r="N59" s="786"/>
      <c r="O59" s="787"/>
      <c r="P59" s="787"/>
      <c r="Q59" s="788"/>
    </row>
    <row r="60" spans="2:17" s="1" customFormat="1" ht="12.75">
      <c r="B60" s="41"/>
      <c r="C60" s="241"/>
      <c r="D60" s="235"/>
      <c r="E60" s="235"/>
      <c r="F60" s="235"/>
      <c r="G60" s="235"/>
      <c r="H60" s="235"/>
      <c r="I60" s="235"/>
      <c r="J60" s="235"/>
      <c r="K60" s="235"/>
      <c r="L60" s="235"/>
      <c r="M60" s="245"/>
      <c r="N60" s="784"/>
      <c r="O60" s="776"/>
      <c r="P60" s="776"/>
      <c r="Q60" s="777"/>
    </row>
    <row r="61" spans="2:17" s="1" customFormat="1" ht="12.75">
      <c r="B61" s="78" t="s">
        <v>354</v>
      </c>
      <c r="C61" s="927">
        <f>'Future Land Use'!D48-'Primary Sources'!D52</f>
        <v>0</v>
      </c>
      <c r="D61" s="237"/>
      <c r="E61" s="237"/>
      <c r="F61" s="237"/>
      <c r="G61" s="237"/>
      <c r="H61" s="237"/>
      <c r="I61" s="237"/>
      <c r="J61" s="237"/>
      <c r="K61" s="237"/>
      <c r="L61" s="237"/>
      <c r="M61" s="243" t="s">
        <v>212</v>
      </c>
      <c r="N61" s="755">
        <f>P61*'Secondary Sources'!C14*'Secondary Sources'!D14</f>
        <v>0</v>
      </c>
      <c r="O61" s="755">
        <f>P61*'Secondary Sources'!C13*'Secondary Sources'!D13</f>
        <v>0</v>
      </c>
      <c r="P61" s="756">
        <f>C61*'Secondary Sources'!E26*'Secondary Sources'!E25*'Primary Sources'!C62*0.226*(1-'Future Management Practices'!C37*'Future Management Practices'!C39*'Future Management Practices'!C40*'Future Management Practices'!C41)</f>
        <v>0</v>
      </c>
      <c r="Q61" s="789"/>
    </row>
    <row r="62" spans="2:17" s="1" customFormat="1" ht="13.5" thickBot="1">
      <c r="B62" s="131"/>
      <c r="C62" s="242"/>
      <c r="D62" s="240"/>
      <c r="E62" s="240"/>
      <c r="F62" s="240"/>
      <c r="G62" s="240"/>
      <c r="H62" s="240"/>
      <c r="I62" s="240"/>
      <c r="J62" s="240"/>
      <c r="K62" s="240"/>
      <c r="L62" s="240"/>
      <c r="M62" s="244"/>
      <c r="N62" s="785"/>
      <c r="O62" s="757"/>
      <c r="P62" s="757"/>
      <c r="Q62" s="761"/>
    </row>
    <row r="63" spans="2:17" s="1" customFormat="1" ht="12.75">
      <c r="B63" s="41"/>
      <c r="C63" s="241"/>
      <c r="D63" s="235"/>
      <c r="E63" s="235"/>
      <c r="F63" s="235"/>
      <c r="G63" s="235"/>
      <c r="H63" s="235"/>
      <c r="I63" s="235"/>
      <c r="J63" s="235"/>
      <c r="K63" s="235"/>
      <c r="L63" s="235"/>
      <c r="M63" s="245"/>
      <c r="N63" s="784"/>
      <c r="O63" s="776"/>
      <c r="P63" s="776"/>
      <c r="Q63" s="777"/>
    </row>
    <row r="64" spans="2:17" s="1" customFormat="1" ht="12.75">
      <c r="B64" s="78" t="s">
        <v>213</v>
      </c>
      <c r="C64" s="61">
        <f>0.8*(SUM(D7:D15)-SUMPRODUCT(E7:E15,D7:D15)/100)</f>
        <v>0</v>
      </c>
      <c r="D64" s="237"/>
      <c r="E64" s="237"/>
      <c r="F64" s="237"/>
      <c r="G64" s="237"/>
      <c r="H64" s="237"/>
      <c r="I64" s="237"/>
      <c r="J64" s="237"/>
      <c r="K64" s="237"/>
      <c r="L64" s="237"/>
      <c r="M64" s="243" t="s">
        <v>214</v>
      </c>
      <c r="N64" s="755" t="e">
        <f>MAX($C64/'Secondary Sources'!$C71*('Secondary Sources'!C119-'Discounts - Future'!C33*(1-'Existing Management Practices'!E16)),J33*SUM($D7:$D30)-SUM(J7:J30))</f>
        <v>#DIV/0!</v>
      </c>
      <c r="O64" s="755" t="e">
        <f>MAX($C64/'Secondary Sources'!$C71*('Secondary Sources'!D119-'Discounts - Future'!D33*(1-'Existing Management Practices'!F16)),K33*SUM($D7:$D30)-SUM(K7:K30))</f>
        <v>#DIV/0!</v>
      </c>
      <c r="P64" s="756"/>
      <c r="Q64" s="759"/>
    </row>
    <row r="65" spans="2:17" s="1" customFormat="1" ht="13.5" thickBot="1">
      <c r="B65" s="131"/>
      <c r="C65" s="242"/>
      <c r="D65" s="240"/>
      <c r="E65" s="240"/>
      <c r="F65" s="240"/>
      <c r="G65" s="240"/>
      <c r="H65" s="240"/>
      <c r="I65" s="240"/>
      <c r="J65" s="240"/>
      <c r="K65" s="240"/>
      <c r="L65" s="240"/>
      <c r="M65" s="244"/>
      <c r="N65" s="234"/>
      <c r="O65" s="190"/>
      <c r="P65" s="190"/>
      <c r="Q65" s="191"/>
    </row>
    <row r="66" spans="2:17" s="1" customFormat="1" ht="12.75">
      <c r="B66" s="41"/>
      <c r="C66" s="241"/>
      <c r="D66" s="235"/>
      <c r="E66" s="235"/>
      <c r="F66" s="235"/>
      <c r="G66" s="235"/>
      <c r="H66" s="235"/>
      <c r="I66" s="235"/>
      <c r="J66" s="235"/>
      <c r="K66" s="235"/>
      <c r="L66" s="235"/>
      <c r="M66" s="245"/>
      <c r="N66" s="230"/>
      <c r="O66" s="231"/>
      <c r="P66" s="231"/>
      <c r="Q66" s="232"/>
    </row>
    <row r="67" spans="2:17" s="1" customFormat="1" ht="12.75">
      <c r="B67" s="78" t="s">
        <v>216</v>
      </c>
      <c r="C67" s="61">
        <f>0.35*SUMPRODUCT(D7:D20,E7:E20)/100+SUMPRODUCT(E21:E25,D21:D25)/100+0.35*SUMPRODUCT(D26:D29,E26:E29)/100</f>
        <v>0</v>
      </c>
      <c r="D67" s="237"/>
      <c r="E67" s="237"/>
      <c r="F67" s="237"/>
      <c r="G67" s="237"/>
      <c r="H67" s="237"/>
      <c r="I67" s="237"/>
      <c r="J67" s="237"/>
      <c r="K67" s="237"/>
      <c r="L67" s="237"/>
      <c r="M67" s="243"/>
      <c r="N67" s="233"/>
      <c r="O67" s="64"/>
      <c r="P67" s="64"/>
      <c r="Q67" s="65"/>
    </row>
    <row r="68" spans="2:17" s="1" customFormat="1" ht="12.75">
      <c r="B68" s="78" t="s">
        <v>217</v>
      </c>
      <c r="C68" s="93">
        <f>'Secondary Sources'!C91</f>
        <v>0</v>
      </c>
      <c r="D68" s="237"/>
      <c r="E68" s="237"/>
      <c r="F68" s="237"/>
      <c r="G68" s="237"/>
      <c r="H68" s="237"/>
      <c r="I68" s="237"/>
      <c r="J68" s="237"/>
      <c r="K68" s="237"/>
      <c r="L68" s="237"/>
      <c r="M68" s="243"/>
      <c r="N68" s="233"/>
      <c r="O68" s="64"/>
      <c r="P68" s="64"/>
      <c r="Q68" s="65"/>
    </row>
    <row r="69" spans="2:17" s="1" customFormat="1" ht="13.5" thickBot="1">
      <c r="B69" s="131" t="s">
        <v>218</v>
      </c>
      <c r="C69" s="532">
        <v>0.1</v>
      </c>
      <c r="D69" s="240"/>
      <c r="E69" s="240"/>
      <c r="F69" s="240"/>
      <c r="G69" s="240"/>
      <c r="H69" s="240"/>
      <c r="I69" s="240"/>
      <c r="J69" s="240"/>
      <c r="K69" s="240"/>
      <c r="L69" s="240"/>
      <c r="M69" s="244" t="s">
        <v>215</v>
      </c>
      <c r="N69" s="234"/>
      <c r="O69" s="190"/>
      <c r="P69" s="757" t="e">
        <f>C67/SUM('Future Management Practices'!C50:E50)*'Secondary Sources'!C90*('Secondary Sources'!E91*'New Development'!C68+'Secondary Sources'!E90*(1-'New Development'!C68))*(1-C69)*(1-'Discounts - Future'!E10)</f>
        <v>#DIV/0!</v>
      </c>
      <c r="Q69" s="191"/>
    </row>
    <row r="70" spans="2:17" s="1" customFormat="1" ht="12.75">
      <c r="B70" s="41"/>
      <c r="C70" s="241"/>
      <c r="D70" s="235"/>
      <c r="E70" s="235"/>
      <c r="F70" s="235"/>
      <c r="G70" s="235"/>
      <c r="H70" s="235"/>
      <c r="I70" s="235"/>
      <c r="J70" s="235"/>
      <c r="K70" s="235"/>
      <c r="L70" s="235"/>
      <c r="M70" s="236"/>
      <c r="N70" s="230"/>
      <c r="O70" s="231"/>
      <c r="P70" s="231"/>
      <c r="Q70" s="232"/>
    </row>
    <row r="71" spans="2:17" s="1" customFormat="1" ht="14.25" customHeight="1">
      <c r="B71" s="78" t="s">
        <v>305</v>
      </c>
      <c r="C71" s="537" t="e">
        <f>'Primary Sources'!E54+(SUMPRODUCT('New Development'!D7:D30,'New Development'!E7:E30)/'Primary Sources'!C63)</f>
        <v>#DIV/0!</v>
      </c>
      <c r="D71" s="237"/>
      <c r="E71" s="237"/>
      <c r="F71" s="237"/>
      <c r="G71" s="237"/>
      <c r="H71" s="237"/>
      <c r="I71" s="237"/>
      <c r="J71" s="237"/>
      <c r="K71" s="237"/>
      <c r="L71" s="237"/>
      <c r="M71" s="238" t="s">
        <v>304</v>
      </c>
      <c r="N71" s="755" t="e">
        <f>O71*'Secondary Sources'!C118/'Secondary Sources'!$E118</f>
        <v>#DIV/0!</v>
      </c>
      <c r="O71" s="755" t="e">
        <f>P71*'Secondary Sources'!D118/'Secondary Sources'!$E118</f>
        <v>#DIV/0!</v>
      </c>
      <c r="P71" s="756" t="e">
        <f>'Secondary Sources'!E114*(('New Development'!C71^2*0.0012+'New Development'!C71*0.0239)/('Primary Sources'!E54^2*0.0012+'Primary Sources'!E54*0.0239)-1)*(1-'Secondary Sources'!C61*2000*'Primary Sources'!C64/'Secondary Sources'!E118)</f>
        <v>#DIV/0!</v>
      </c>
      <c r="Q71" s="65"/>
    </row>
    <row r="72" spans="2:17" s="1" customFormat="1" ht="13.5" thickBot="1">
      <c r="B72" s="131"/>
      <c r="C72" s="242"/>
      <c r="D72" s="240"/>
      <c r="E72" s="240"/>
      <c r="F72" s="240"/>
      <c r="G72" s="240"/>
      <c r="H72" s="240"/>
      <c r="I72" s="240"/>
      <c r="J72" s="240"/>
      <c r="K72" s="240"/>
      <c r="L72" s="240"/>
      <c r="M72" s="914"/>
      <c r="N72" s="234"/>
      <c r="O72" s="190"/>
      <c r="P72" s="190"/>
      <c r="Q72" s="191"/>
    </row>
    <row r="73" spans="2:17" s="1" customFormat="1" ht="13.5" thickBot="1">
      <c r="B73" s="194"/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246" t="s">
        <v>138</v>
      </c>
      <c r="N73" s="524" t="e">
        <f>SUM(N7:N72)</f>
        <v>#DIV/0!</v>
      </c>
      <c r="O73" s="525" t="e">
        <f>SUM(O7:O72)</f>
        <v>#DIV/0!</v>
      </c>
      <c r="P73" s="525" t="e">
        <f>SUM(P7:P72)</f>
        <v>#DIV/0!</v>
      </c>
      <c r="Q73" s="526">
        <f>SUM(Q7:Q72)</f>
        <v>0</v>
      </c>
    </row>
    <row r="74" ht="13.5" thickTop="1"/>
    <row r="75" ht="12.75"/>
    <row r="76" ht="13.5" thickBot="1"/>
    <row r="77" spans="2:6" ht="21" thickTop="1">
      <c r="B77" s="26" t="s">
        <v>206</v>
      </c>
      <c r="C77" s="4"/>
      <c r="D77" s="253"/>
      <c r="E77" s="253"/>
      <c r="F77" s="254"/>
    </row>
    <row r="78" spans="2:6" ht="12.75" customHeight="1" thickBot="1">
      <c r="B78" s="7"/>
      <c r="C78" s="6"/>
      <c r="D78" s="256"/>
      <c r="E78" s="256"/>
      <c r="F78" s="257"/>
    </row>
    <row r="79" spans="2:6" ht="12.75" customHeight="1" thickTop="1">
      <c r="B79" s="248" t="s">
        <v>340</v>
      </c>
      <c r="C79" s="273"/>
      <c r="D79" s="252"/>
      <c r="E79" s="253"/>
      <c r="F79" s="254"/>
    </row>
    <row r="80" spans="2:6" ht="12.75" customHeight="1" thickBot="1">
      <c r="B80" s="76"/>
      <c r="C80" s="251"/>
      <c r="D80" s="33"/>
      <c r="E80" s="20"/>
      <c r="F80" s="255"/>
    </row>
    <row r="81" spans="2:6" ht="12.75" customHeight="1">
      <c r="B81" s="41" t="s">
        <v>221</v>
      </c>
      <c r="C81" s="249" t="s">
        <v>222</v>
      </c>
      <c r="D81" s="33"/>
      <c r="E81" s="20"/>
      <c r="F81" s="255"/>
    </row>
    <row r="82" spans="2:6" ht="12.75" customHeight="1">
      <c r="B82" s="247" t="s">
        <v>131</v>
      </c>
      <c r="C82" s="274"/>
      <c r="D82" s="258"/>
      <c r="E82" s="258"/>
      <c r="F82" s="259"/>
    </row>
    <row r="83" spans="2:6" ht="12.75" customHeight="1">
      <c r="B83" s="91" t="s">
        <v>132</v>
      </c>
      <c r="C83" s="275"/>
      <c r="D83" s="260"/>
      <c r="E83" s="260"/>
      <c r="F83" s="261"/>
    </row>
    <row r="84" spans="2:6" ht="12.75" customHeight="1">
      <c r="B84" s="91" t="s">
        <v>133</v>
      </c>
      <c r="C84" s="275"/>
      <c r="D84" s="260"/>
      <c r="E84" s="260"/>
      <c r="F84" s="261"/>
    </row>
    <row r="85" spans="2:6" ht="12.75" customHeight="1">
      <c r="B85" s="91" t="s">
        <v>134</v>
      </c>
      <c r="C85" s="275"/>
      <c r="D85" s="260"/>
      <c r="E85" s="260"/>
      <c r="F85" s="261"/>
    </row>
    <row r="86" spans="2:6" ht="12.75" customHeight="1">
      <c r="B86" s="91" t="s">
        <v>135</v>
      </c>
      <c r="C86" s="275"/>
      <c r="D86" s="260"/>
      <c r="E86" s="260"/>
      <c r="F86" s="261"/>
    </row>
    <row r="87" spans="2:6" ht="12.75" customHeight="1">
      <c r="B87" s="91" t="s">
        <v>136</v>
      </c>
      <c r="C87" s="275"/>
      <c r="D87" s="260"/>
      <c r="E87" s="260"/>
      <c r="F87" s="261"/>
    </row>
    <row r="88" spans="2:6" ht="12.75" customHeight="1">
      <c r="B88" s="91" t="s">
        <v>137</v>
      </c>
      <c r="C88" s="275"/>
      <c r="D88" s="260"/>
      <c r="E88" s="260"/>
      <c r="F88" s="261"/>
    </row>
    <row r="89" spans="2:6" ht="12.75">
      <c r="B89" s="78"/>
      <c r="C89" s="85"/>
      <c r="D89" s="260"/>
      <c r="E89" s="260"/>
      <c r="F89" s="261"/>
    </row>
    <row r="90" spans="2:177" s="1" customFormat="1" ht="12.75">
      <c r="B90" s="78"/>
      <c r="C90" s="85" t="s">
        <v>4</v>
      </c>
      <c r="D90" s="85" t="s">
        <v>5</v>
      </c>
      <c r="E90" s="85" t="s">
        <v>6</v>
      </c>
      <c r="F90" s="97" t="s">
        <v>8</v>
      </c>
      <c r="G90" s="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</row>
    <row r="91" spans="2:177" ht="12.75">
      <c r="B91" s="78" t="s">
        <v>223</v>
      </c>
      <c r="C91" s="99">
        <f>SUMPRODUCT($C82:$C88,'Existing Management Practices'!D68:D74)</f>
        <v>0</v>
      </c>
      <c r="D91" s="99">
        <f>SUMPRODUCT($C82:$C88,'Existing Management Practices'!E68:E74)</f>
        <v>0</v>
      </c>
      <c r="E91" s="99">
        <f>SUMPRODUCT($C82:$C88,'Existing Management Practices'!F68:F74)</f>
        <v>0</v>
      </c>
      <c r="F91" s="137">
        <f>SUMPRODUCT($C82:$C88,'Existing Management Practices'!G68:G74)</f>
        <v>0</v>
      </c>
      <c r="G91" s="33"/>
      <c r="H91" s="20"/>
      <c r="I91" s="20"/>
      <c r="J91" s="20"/>
      <c r="K91" s="20"/>
      <c r="L91" s="20"/>
      <c r="M91" s="24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</row>
    <row r="92" spans="2:177" ht="12.75">
      <c r="B92" s="144" t="s">
        <v>355</v>
      </c>
      <c r="C92" s="544"/>
      <c r="D92" s="545"/>
      <c r="E92" s="545"/>
      <c r="F92" s="546"/>
      <c r="G92" s="33"/>
      <c r="H92" s="20"/>
      <c r="I92" s="20"/>
      <c r="J92" s="20"/>
      <c r="K92" s="20"/>
      <c r="L92" s="20"/>
      <c r="M92" s="24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</row>
    <row r="93" spans="2:177" ht="12.75">
      <c r="B93" s="144" t="s">
        <v>225</v>
      </c>
      <c r="C93" s="275"/>
      <c r="D93" s="264"/>
      <c r="E93" s="264"/>
      <c r="F93" s="265"/>
      <c r="G93" s="33"/>
      <c r="H93" s="20"/>
      <c r="I93" s="20"/>
      <c r="J93" s="20"/>
      <c r="K93" s="20"/>
      <c r="L93" s="20"/>
      <c r="M93" s="24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</row>
    <row r="94" spans="2:177" ht="13.5" thickBot="1">
      <c r="B94" s="382" t="s">
        <v>306</v>
      </c>
      <c r="C94" s="532"/>
      <c r="D94" s="530"/>
      <c r="E94" s="530"/>
      <c r="F94" s="531"/>
      <c r="G94" s="33"/>
      <c r="H94" s="20"/>
      <c r="I94" s="20"/>
      <c r="J94" s="20"/>
      <c r="K94" s="20"/>
      <c r="L94" s="20"/>
      <c r="M94" s="24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</row>
    <row r="95" spans="1:177" s="260" customFormat="1" ht="12.75">
      <c r="A95" s="268"/>
      <c r="B95" s="41"/>
      <c r="C95" s="42"/>
      <c r="D95" s="938"/>
      <c r="E95" s="938"/>
      <c r="F95" s="939"/>
      <c r="G95" s="33"/>
      <c r="H95" s="20"/>
      <c r="I95" s="20"/>
      <c r="J95" s="20"/>
      <c r="K95" s="20"/>
      <c r="L95" s="20"/>
      <c r="M95" s="24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</row>
    <row r="96" spans="1:177" s="260" customFormat="1" ht="12.75">
      <c r="A96" s="268"/>
      <c r="B96" s="78"/>
      <c r="C96" s="85"/>
      <c r="F96" s="261"/>
      <c r="G96" s="33"/>
      <c r="H96" s="20"/>
      <c r="I96" s="20"/>
      <c r="J96" s="20"/>
      <c r="K96" s="20"/>
      <c r="L96" s="20"/>
      <c r="M96" s="24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</row>
    <row r="97" spans="1:177" s="260" customFormat="1" ht="12.75">
      <c r="A97" s="268"/>
      <c r="B97" s="78"/>
      <c r="C97" s="85"/>
      <c r="F97" s="261"/>
      <c r="G97" s="33"/>
      <c r="H97" s="20"/>
      <c r="I97" s="20"/>
      <c r="J97" s="20"/>
      <c r="K97" s="20"/>
      <c r="L97" s="20"/>
      <c r="M97" s="24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</row>
    <row r="98" spans="1:177" s="260" customFormat="1" ht="12.75">
      <c r="A98" s="268"/>
      <c r="B98" s="78"/>
      <c r="C98" s="85"/>
      <c r="F98" s="261"/>
      <c r="G98" s="33"/>
      <c r="H98" s="20"/>
      <c r="I98" s="20"/>
      <c r="J98" s="20"/>
      <c r="K98" s="20"/>
      <c r="L98" s="20"/>
      <c r="M98" s="24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</row>
    <row r="99" spans="1:177" s="260" customFormat="1" ht="13.5" thickBot="1">
      <c r="A99" s="268"/>
      <c r="B99" s="131"/>
      <c r="C99" s="363"/>
      <c r="D99" s="940"/>
      <c r="E99" s="940"/>
      <c r="F99" s="941"/>
      <c r="G99" s="33"/>
      <c r="H99" s="20"/>
      <c r="I99" s="20"/>
      <c r="J99" s="20"/>
      <c r="K99" s="20"/>
      <c r="L99" s="20"/>
      <c r="M99" s="24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</row>
    <row r="100" spans="2:177" ht="15.75">
      <c r="B100" s="33"/>
      <c r="C100" s="90"/>
      <c r="D100" s="281" t="s">
        <v>207</v>
      </c>
      <c r="E100" s="266"/>
      <c r="F100" s="267"/>
      <c r="G100" s="33"/>
      <c r="H100" s="20"/>
      <c r="I100" s="20"/>
      <c r="J100" s="20"/>
      <c r="K100" s="20"/>
      <c r="L100" s="20"/>
      <c r="M100" s="24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</row>
    <row r="101" spans="2:177" ht="12.75">
      <c r="B101" s="78" t="s">
        <v>224</v>
      </c>
      <c r="C101" s="85" t="s">
        <v>353</v>
      </c>
      <c r="D101" s="85" t="s">
        <v>145</v>
      </c>
      <c r="E101" s="85" t="s">
        <v>146</v>
      </c>
      <c r="F101" s="97" t="s">
        <v>147</v>
      </c>
      <c r="G101" s="33"/>
      <c r="H101" s="20"/>
      <c r="I101" s="20"/>
      <c r="J101" s="20"/>
      <c r="K101" s="20"/>
      <c r="L101" s="20"/>
      <c r="M101" s="24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</row>
    <row r="102" spans="2:177" ht="12.75">
      <c r="B102" s="78">
        <v>1</v>
      </c>
      <c r="C102" s="276">
        <f>$C$93</f>
        <v>0</v>
      </c>
      <c r="D102" s="71">
        <f>'Future Management Practices'!C83</f>
        <v>0</v>
      </c>
      <c r="E102" s="71">
        <f>'Future Management Practices'!D83</f>
        <v>0</v>
      </c>
      <c r="F102" s="277">
        <f>'Future Management Practices'!E83</f>
        <v>0</v>
      </c>
      <c r="G102" s="33"/>
      <c r="H102" s="20"/>
      <c r="I102" s="20"/>
      <c r="J102" s="20"/>
      <c r="K102" s="20"/>
      <c r="L102" s="20"/>
      <c r="M102" s="24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</row>
    <row r="103" spans="2:177" ht="12.75">
      <c r="B103" s="78">
        <v>2</v>
      </c>
      <c r="C103" s="276">
        <f>$C$93</f>
        <v>0</v>
      </c>
      <c r="D103" s="71">
        <v>0.9</v>
      </c>
      <c r="E103" s="71">
        <v>1.2</v>
      </c>
      <c r="F103" s="277">
        <v>0.9</v>
      </c>
      <c r="G103" s="33"/>
      <c r="H103" s="20"/>
      <c r="I103" s="20"/>
      <c r="J103" s="20"/>
      <c r="K103" s="20"/>
      <c r="L103" s="20"/>
      <c r="M103" s="24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</row>
    <row r="104" spans="2:7" ht="12.75">
      <c r="B104" s="78">
        <v>3</v>
      </c>
      <c r="C104" s="276">
        <f>$C$93</f>
        <v>0</v>
      </c>
      <c r="D104" s="71">
        <f>D102</f>
        <v>0</v>
      </c>
      <c r="E104" s="71">
        <f>MIN(E$102,1)</f>
        <v>0</v>
      </c>
      <c r="F104" s="277">
        <f>F102</f>
        <v>0</v>
      </c>
      <c r="G104" s="33"/>
    </row>
    <row r="105" spans="2:6" ht="12.75">
      <c r="B105" s="78">
        <v>4</v>
      </c>
      <c r="C105" s="276">
        <f>$C$93</f>
        <v>0</v>
      </c>
      <c r="D105" s="71">
        <f>D102</f>
        <v>0</v>
      </c>
      <c r="E105" s="71">
        <f>MIN(E$102,1)</f>
        <v>0</v>
      </c>
      <c r="F105" s="277">
        <f>F102</f>
        <v>0</v>
      </c>
    </row>
    <row r="106" spans="2:6" ht="12.75">
      <c r="B106" s="78">
        <v>5</v>
      </c>
      <c r="C106" s="276">
        <f>$C$93</f>
        <v>0</v>
      </c>
      <c r="D106" s="71">
        <v>1</v>
      </c>
      <c r="E106" s="71">
        <v>1</v>
      </c>
      <c r="F106" s="277">
        <v>1</v>
      </c>
    </row>
    <row r="107" spans="2:6" ht="13.5" thickBot="1">
      <c r="B107" s="282"/>
      <c r="C107" s="283"/>
      <c r="D107" s="264"/>
      <c r="E107" s="264"/>
      <c r="F107" s="265"/>
    </row>
    <row r="108" spans="2:6" ht="13.5" thickBot="1">
      <c r="B108" s="285"/>
      <c r="C108" s="286"/>
      <c r="D108" s="286"/>
      <c r="E108" s="286"/>
      <c r="F108" s="287"/>
    </row>
    <row r="109" spans="2:7" ht="12.75">
      <c r="B109" s="33"/>
      <c r="C109" s="90"/>
      <c r="D109" s="266" t="s">
        <v>226</v>
      </c>
      <c r="E109" s="266"/>
      <c r="F109" s="284"/>
      <c r="G109" s="270"/>
    </row>
    <row r="110" spans="2:7" ht="12.75">
      <c r="B110" s="78" t="s">
        <v>224</v>
      </c>
      <c r="C110" s="85" t="s">
        <v>4</v>
      </c>
      <c r="D110" s="85" t="s">
        <v>5</v>
      </c>
      <c r="E110" s="85" t="s">
        <v>6</v>
      </c>
      <c r="F110" s="84" t="s">
        <v>8</v>
      </c>
      <c r="G110" s="7"/>
    </row>
    <row r="111" spans="2:7" ht="12.75">
      <c r="B111" s="78">
        <v>1</v>
      </c>
      <c r="C111" s="278">
        <f>SUM(N$8:N$30)*C$91*$C102*$D102*$E102*$F102</f>
        <v>0</v>
      </c>
      <c r="D111" s="279">
        <f>SUM(O$8:O$30)*D$91*$C102*$D102*$E102*$F102</f>
        <v>0</v>
      </c>
      <c r="E111" s="279">
        <f>SUM(P$8:P$30)*E$91*$C102*$D102*$E102*$F102</f>
        <v>0</v>
      </c>
      <c r="F111" s="280">
        <f>SUM(Q$6:Q$30)*F$91*$C102*$D102*$E102*$F102</f>
        <v>0</v>
      </c>
      <c r="G111" s="271"/>
    </row>
    <row r="112" spans="2:7" ht="12.75">
      <c r="B112" s="78">
        <v>2</v>
      </c>
      <c r="C112" s="279">
        <f>SUM(N$7:N$30)*C$91*$C103*$D103*$E103*$F103</f>
        <v>0</v>
      </c>
      <c r="D112" s="279">
        <f>SUM(O$7:O$30)*D$91*$C103*$D103*$E103*$F103</f>
        <v>0</v>
      </c>
      <c r="E112" s="279">
        <f>SUM(P$7:P$30)*E$91*$C103*$D103*$E103*$F103</f>
        <v>0</v>
      </c>
      <c r="F112" s="280">
        <f>SUM(Q$7:Q$30)*F$91*$C103*$D103*$E103*$F103</f>
        <v>0</v>
      </c>
      <c r="G112" s="271"/>
    </row>
    <row r="113" spans="2:7" ht="12.75">
      <c r="B113" s="78">
        <v>3</v>
      </c>
      <c r="C113" s="279">
        <f>(SUM(N$7:N$30)+SUM(N$33:N$47)*'Primary Sources'!C$59)*C$92*$C104*$D104*$E104*$F104</f>
        <v>0</v>
      </c>
      <c r="D113" s="279">
        <f>(SUM(O$7:O$30)+SUM(O$33:O$47)*'Primary Sources'!D$59)*D$92*$C104*$D104*$E104*$F104</f>
        <v>0</v>
      </c>
      <c r="E113" s="279">
        <f>(SUM(P$7:P$30)+SUM(P$33:P$47)*'Primary Sources'!E$59)*E$92*$C104*$D104*$E104*$F104</f>
        <v>0</v>
      </c>
      <c r="F113" s="279">
        <f>(SUM(Q$7:Q$30)+SUM(Q$33:Q$47)*'Primary Sources'!F$59)*F$92*$C104*$D104*$E104*$F104</f>
        <v>0</v>
      </c>
      <c r="G113" s="271"/>
    </row>
    <row r="114" spans="2:7" ht="12.75">
      <c r="B114" s="78">
        <v>4</v>
      </c>
      <c r="C114" s="279">
        <f>(SUM(N$7:N$30)+SUM(N$33:N$47)*'Primary Sources'!C$59)*C$92*$C105*$D105*$E105*$F105</f>
        <v>0</v>
      </c>
      <c r="D114" s="279">
        <f>(SUM(O$7:O$30)+SUM(O$33:O$47)*'Primary Sources'!D$59)*D$92*$C105*$D105*$E105*$F105</f>
        <v>0</v>
      </c>
      <c r="E114" s="279">
        <f>(SUM(P$7:P$30)+SUM(P$33:P$47)*'Primary Sources'!E$59)*E$92*$C105*$D105*$E105*$F105</f>
        <v>0</v>
      </c>
      <c r="F114" s="279">
        <f>(SUM(Q$7:Q$30)+SUM(Q$33:Q$47)*'Primary Sources'!F$59)*F$92*$C105*$D105*$E105*$F105</f>
        <v>0</v>
      </c>
      <c r="G114" s="271"/>
    </row>
    <row r="115" spans="2:7" ht="12.75">
      <c r="B115" s="78">
        <v>5</v>
      </c>
      <c r="C115" s="279">
        <f>(SUM(N$7:N$30)+SUM(N$33:N$47)*'Primary Sources'!C$59)*C$92*$C106*$D106*$E106*$F106</f>
        <v>0</v>
      </c>
      <c r="D115" s="279">
        <f>(SUM(O$7:O$30)+SUM(O$33:O$47)*'Primary Sources'!D$59)*D$92*$C106*$D106*$E106*$F106</f>
        <v>0</v>
      </c>
      <c r="E115" s="279">
        <f>(SUM(P$7:P$30)+SUM(P$33:P$47)*'Primary Sources'!E$59)*E$92*$C106*$D106*$E106*$F106</f>
        <v>0</v>
      </c>
      <c r="F115" s="279">
        <f>(SUM(Q$7:Q$30)+SUM(Q$33:Q$47)*'Primary Sources'!F$59)*F$92*$C106*$D106*$E106*$F106</f>
        <v>0</v>
      </c>
      <c r="G115" s="272"/>
    </row>
    <row r="116" spans="2:7" ht="12.75">
      <c r="B116" s="144"/>
      <c r="C116" s="527"/>
      <c r="D116" s="528"/>
      <c r="E116" s="528"/>
      <c r="F116" s="529"/>
      <c r="G116" s="272"/>
    </row>
    <row r="117" spans="2:7" ht="12.75">
      <c r="B117" s="144"/>
      <c r="C117" s="527"/>
      <c r="D117" s="528"/>
      <c r="E117" s="528"/>
      <c r="F117" s="529"/>
      <c r="G117" s="272"/>
    </row>
    <row r="118" spans="2:7" ht="12.75">
      <c r="B118" s="144"/>
      <c r="C118" s="527"/>
      <c r="D118" s="528"/>
      <c r="E118" s="528"/>
      <c r="F118" s="529"/>
      <c r="G118" s="272"/>
    </row>
    <row r="119" spans="2:7" ht="12.75">
      <c r="B119" s="144"/>
      <c r="C119" s="527"/>
      <c r="D119" s="528"/>
      <c r="E119" s="528"/>
      <c r="F119" s="529"/>
      <c r="G119" s="272"/>
    </row>
    <row r="120" spans="2:7" ht="12.75">
      <c r="B120" s="144" t="s">
        <v>173</v>
      </c>
      <c r="C120" s="528" t="e">
        <f>$E120*'Secondary Sources'!C118/'Secondary Sources'!$E118</f>
        <v>#DIV/0!</v>
      </c>
      <c r="D120" s="528" t="e">
        <f>$E120*'Secondary Sources'!D118/'Secondary Sources'!$E118</f>
        <v>#DIV/0!</v>
      </c>
      <c r="E120" s="538" t="e">
        <f>C94*P71</f>
        <v>#DIV/0!</v>
      </c>
      <c r="F120" s="529"/>
      <c r="G120" s="272"/>
    </row>
    <row r="121" spans="2:7" ht="13.5" thickBot="1">
      <c r="B121" s="250"/>
      <c r="C121" s="262"/>
      <c r="D121" s="263"/>
      <c r="E121" s="263"/>
      <c r="F121" s="269"/>
      <c r="G121" s="33"/>
    </row>
    <row r="122" ht="14.25" thickBot="1" thickTop="1"/>
    <row r="123" spans="2:6" ht="14.25" thickBot="1" thickTop="1">
      <c r="B123" s="917" t="s">
        <v>378</v>
      </c>
      <c r="C123" s="915" t="e">
        <f>MIN(VLOOKUP($C$79,$B$111:$F$115,2),SUM(N7:N30)-SUM(D7:D30)*J33)</f>
        <v>#N/A</v>
      </c>
      <c r="D123" s="915" t="e">
        <f>MIN(VLOOKUP($C$79,$B$111:$F$115,3),SUM(O7:O30)-SUM(D7:D30)*(K33))</f>
        <v>#N/A</v>
      </c>
      <c r="E123" s="915" t="e">
        <f>MIN(VLOOKUP($C$79,$B$111:$F$115,4),SUM(P7:P30)-SUM(D7:D30)*(L33))</f>
        <v>#N/A</v>
      </c>
      <c r="F123" s="916" t="e">
        <f>MIN(VLOOKUP($C$79,$B$111:$F$115,5),SUM(Q7:Q30)-SUM(D7:D30)*(M33))</f>
        <v>#N/A</v>
      </c>
    </row>
    <row r="124" ht="14.25" thickBot="1" thickTop="1"/>
    <row r="125" spans="2:6" ht="21.75" thickBot="1" thickTop="1">
      <c r="B125" s="288" t="s">
        <v>227</v>
      </c>
      <c r="C125" s="289"/>
      <c r="D125" s="289"/>
      <c r="E125" s="289"/>
      <c r="F125" s="290"/>
    </row>
    <row r="126" spans="2:6" s="25" customFormat="1" ht="12.75">
      <c r="B126" s="41"/>
      <c r="C126" s="42" t="s">
        <v>4</v>
      </c>
      <c r="D126" s="42" t="s">
        <v>5</v>
      </c>
      <c r="E126" s="42" t="s">
        <v>6</v>
      </c>
      <c r="F126" s="43" t="s">
        <v>8</v>
      </c>
    </row>
    <row r="127" spans="2:6" s="25" customFormat="1" ht="12.75">
      <c r="B127" s="78" t="s">
        <v>320</v>
      </c>
      <c r="C127" s="918" t="e">
        <f>SUM(N7:N30)+SUM(N33:N47)*'Primary Sources'!C59+N61+N69-C123-C120</f>
        <v>#N/A</v>
      </c>
      <c r="D127" s="737" t="e">
        <f>SUM(O7:O30)+SUM(O33:O47)*'Primary Sources'!D59+O61+O69-D123-D120</f>
        <v>#N/A</v>
      </c>
      <c r="E127" s="737" t="e">
        <f>SUM(P7:P30)+SUM(P33:P47)*'Primary Sources'!E59+P61+P69-E123-E120</f>
        <v>#DIV/0!</v>
      </c>
      <c r="F127" s="737" t="e">
        <f>SUM(Q7:Q30)+SUM(Q33:Q47)*'Primary Sources'!F59+Q61+Q69-F123-F120</f>
        <v>#N/A</v>
      </c>
    </row>
    <row r="128" spans="2:6" s="25" customFormat="1" ht="13.5" thickBot="1">
      <c r="B128" s="80" t="s">
        <v>321</v>
      </c>
      <c r="C128" s="921" t="e">
        <f>N73-C123-C127-C120</f>
        <v>#DIV/0!</v>
      </c>
      <c r="D128" s="738" t="e">
        <f>O73-D123-D127-D120</f>
        <v>#DIV/0!</v>
      </c>
      <c r="E128" s="738" t="e">
        <f>P73-E123-E127-E120</f>
        <v>#DIV/0!</v>
      </c>
      <c r="F128" s="739" t="e">
        <f>Q73-F123-F127-F120</f>
        <v>#N/A</v>
      </c>
    </row>
    <row r="129" spans="2:13" s="942" customFormat="1" ht="13.5" thickTop="1">
      <c r="B129" s="980" t="s">
        <v>138</v>
      </c>
      <c r="C129" s="943" t="e">
        <f>SUM(C127:C128)</f>
        <v>#N/A</v>
      </c>
      <c r="D129" s="943" t="e">
        <f>SUM(D127:D128)</f>
        <v>#N/A</v>
      </c>
      <c r="E129" s="943" t="e">
        <f>SUM(E127:E128)</f>
        <v>#DIV/0!</v>
      </c>
      <c r="F129" s="943" t="e">
        <f>SUM(F127:F128)</f>
        <v>#N/A</v>
      </c>
      <c r="M129" s="25"/>
    </row>
  </sheetData>
  <printOptions headings="1"/>
  <pageMargins left="0.75" right="0.75" top="1" bottom="1" header="0.5" footer="0.5"/>
  <pageSetup fitToWidth="3" fitToHeight="1" horizontalDpi="300" verticalDpi="300" orientation="landscape" scale="2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67"/>
  <sheetViews>
    <sheetView zoomScale="75" zoomScaleNormal="75" workbookViewId="0" topLeftCell="A16">
      <selection activeCell="C24" sqref="C24"/>
    </sheetView>
  </sheetViews>
  <sheetFormatPr defaultColWidth="9.140625" defaultRowHeight="12.75"/>
  <cols>
    <col min="1" max="1" width="9.140625" style="365" customWidth="1"/>
    <col min="2" max="2" width="46.7109375" style="34" customWidth="1"/>
    <col min="3" max="3" width="13.8515625" style="25" customWidth="1"/>
    <col min="4" max="4" width="12.7109375" style="25" customWidth="1"/>
    <col min="5" max="5" width="14.7109375" style="25" customWidth="1"/>
    <col min="6" max="6" width="21.421875" style="25" customWidth="1"/>
  </cols>
  <sheetData>
    <row r="1" spans="2:6" s="365" customFormat="1" ht="12.75">
      <c r="B1" s="501"/>
      <c r="C1" s="370"/>
      <c r="D1" s="370"/>
      <c r="E1" s="370"/>
      <c r="F1" s="370"/>
    </row>
    <row r="2" spans="2:6" s="365" customFormat="1" ht="12.75">
      <c r="B2" s="501"/>
      <c r="C2" s="370"/>
      <c r="D2" s="370"/>
      <c r="E2" s="370"/>
      <c r="F2" s="370"/>
    </row>
    <row r="3" spans="2:6" s="365" customFormat="1" ht="12.75">
      <c r="B3" s="501"/>
      <c r="C3" s="370"/>
      <c r="D3" s="370"/>
      <c r="E3" s="370"/>
      <c r="F3" s="370"/>
    </row>
    <row r="4" spans="2:6" s="365" customFormat="1" ht="13.5" thickBot="1">
      <c r="B4" s="501"/>
      <c r="C4" s="370"/>
      <c r="D4" s="370"/>
      <c r="E4" s="370"/>
      <c r="F4" s="370"/>
    </row>
    <row r="5" spans="2:9" s="365" customFormat="1" ht="21.75" thickBot="1" thickTop="1">
      <c r="B5" s="435" t="s">
        <v>361</v>
      </c>
      <c r="C5" s="455"/>
      <c r="D5" s="455"/>
      <c r="E5" s="455"/>
      <c r="F5" s="443"/>
      <c r="G5" s="431"/>
      <c r="H5" s="377"/>
      <c r="I5" s="377"/>
    </row>
    <row r="6" spans="2:42" ht="12.75">
      <c r="B6" s="41"/>
      <c r="C6" s="42" t="s">
        <v>353</v>
      </c>
      <c r="D6" s="42" t="s">
        <v>145</v>
      </c>
      <c r="E6" s="42" t="s">
        <v>146</v>
      </c>
      <c r="F6" s="43" t="s">
        <v>147</v>
      </c>
      <c r="G6" s="365"/>
      <c r="H6" s="365"/>
      <c r="I6" s="365"/>
      <c r="J6" s="365"/>
      <c r="K6" s="365"/>
      <c r="L6" s="365"/>
      <c r="M6" s="365"/>
      <c r="N6" s="365"/>
      <c r="O6" s="365"/>
      <c r="P6" s="365"/>
      <c r="Q6" s="365"/>
      <c r="R6" s="365"/>
      <c r="S6" s="365"/>
      <c r="T6" s="365"/>
      <c r="U6" s="365"/>
      <c r="V6" s="365"/>
      <c r="W6" s="365"/>
      <c r="X6" s="365"/>
      <c r="Y6" s="365"/>
      <c r="Z6" s="365"/>
      <c r="AA6" s="365"/>
      <c r="AB6" s="365"/>
      <c r="AC6" s="365"/>
      <c r="AD6" s="365"/>
      <c r="AE6" s="365"/>
      <c r="AF6" s="365"/>
      <c r="AG6" s="365"/>
      <c r="AH6" s="365"/>
      <c r="AI6" s="365"/>
      <c r="AJ6" s="365"/>
      <c r="AK6" s="365"/>
      <c r="AL6" s="365"/>
      <c r="AM6" s="365"/>
      <c r="AN6" s="365"/>
      <c r="AO6" s="365"/>
      <c r="AP6" s="365"/>
    </row>
    <row r="7" spans="2:42" ht="12.75">
      <c r="B7" s="44" t="s">
        <v>104</v>
      </c>
      <c r="C7" s="45">
        <f>'Existing Management Practices'!C10*'Existing Management Practices'!C11</f>
        <v>0.507</v>
      </c>
      <c r="D7" s="45">
        <f>'Existing Management Practices'!C12</f>
        <v>0</v>
      </c>
      <c r="E7" s="45">
        <f>'Existing Management Practices'!C13</f>
        <v>0.7</v>
      </c>
      <c r="F7" s="952">
        <v>1</v>
      </c>
      <c r="G7" s="365"/>
      <c r="H7" s="365"/>
      <c r="I7" s="365"/>
      <c r="J7" s="365"/>
      <c r="K7" s="365"/>
      <c r="L7" s="365"/>
      <c r="M7" s="365"/>
      <c r="N7" s="365"/>
      <c r="O7" s="365"/>
      <c r="P7" s="365"/>
      <c r="Q7" s="365"/>
      <c r="R7" s="365"/>
      <c r="S7" s="365"/>
      <c r="T7" s="365"/>
      <c r="U7" s="365"/>
      <c r="V7" s="365"/>
      <c r="W7" s="365"/>
      <c r="X7" s="365"/>
      <c r="Y7" s="365"/>
      <c r="Z7" s="365"/>
      <c r="AA7" s="365"/>
      <c r="AB7" s="365"/>
      <c r="AC7" s="365"/>
      <c r="AD7" s="365"/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/>
      <c r="AP7" s="365"/>
    </row>
    <row r="8" spans="2:42" ht="12.75">
      <c r="B8" s="44" t="s">
        <v>105</v>
      </c>
      <c r="C8" s="45">
        <f>'Existing Management Practices'!C24*(1-'Existing Management Practices'!C25)</f>
        <v>0.2</v>
      </c>
      <c r="D8" s="45">
        <f>'Existing Management Practices'!C27</f>
        <v>0</v>
      </c>
      <c r="E8" s="45">
        <f>'Existing Management Practices'!C26</f>
        <v>0.6</v>
      </c>
      <c r="F8" s="952">
        <v>1</v>
      </c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  <c r="S8" s="365"/>
      <c r="T8" s="365"/>
      <c r="U8" s="365"/>
      <c r="V8" s="365"/>
      <c r="W8" s="365"/>
      <c r="X8" s="365"/>
      <c r="Y8" s="365"/>
      <c r="Z8" s="365"/>
      <c r="AA8" s="365"/>
      <c r="AB8" s="365"/>
      <c r="AC8" s="365"/>
      <c r="AD8" s="365"/>
      <c r="AE8" s="365"/>
      <c r="AF8" s="365"/>
      <c r="AG8" s="365"/>
      <c r="AH8" s="365"/>
      <c r="AI8" s="365"/>
      <c r="AJ8" s="365"/>
      <c r="AK8" s="365"/>
      <c r="AL8" s="365"/>
      <c r="AM8" s="365"/>
      <c r="AN8" s="365"/>
      <c r="AO8" s="365"/>
      <c r="AP8" s="365"/>
    </row>
    <row r="9" spans="2:42" ht="12.75">
      <c r="B9" s="44" t="s">
        <v>114</v>
      </c>
      <c r="C9" s="45">
        <f>'Existing Management Practices'!C39</f>
        <v>0</v>
      </c>
      <c r="D9" s="45">
        <f>'Existing Management Practices'!C40</f>
        <v>0</v>
      </c>
      <c r="E9" s="45">
        <f>'Existing Management Practices'!C41</f>
        <v>0</v>
      </c>
      <c r="F9" s="952">
        <v>1</v>
      </c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</row>
    <row r="10" spans="2:42" ht="12.75">
      <c r="B10" s="44" t="s">
        <v>84</v>
      </c>
      <c r="C10" s="45">
        <v>1</v>
      </c>
      <c r="D10" s="45">
        <f>IF(SUM('Existing Management Practices'!C46:E48)&gt;0,(IF('Existing Management Practices'!C49="M",0.6,1)*SUM('Existing Management Practices'!C46:C48)+IF('Existing Management Practices'!D49="M",0.6,1)*SUM('Existing Management Practices'!D46:D48)+IF('Existing Management Practices'!E49="M",0.6,1)*SUM('Existing Management Practices'!E46:E48))/SUM('Existing Management Practices'!C46:E48),1)</f>
        <v>1</v>
      </c>
      <c r="E10" s="45">
        <f>'Existing Management Practices'!C51</f>
        <v>0</v>
      </c>
      <c r="F10" s="952">
        <v>1</v>
      </c>
      <c r="G10" s="470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</row>
    <row r="11" spans="2:42" ht="12.75">
      <c r="B11" s="44" t="s">
        <v>85</v>
      </c>
      <c r="C11" s="45">
        <v>1</v>
      </c>
      <c r="D11" s="45">
        <v>1</v>
      </c>
      <c r="E11" s="45">
        <v>1</v>
      </c>
      <c r="F11" s="952">
        <v>1</v>
      </c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5"/>
      <c r="AF11" s="365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</row>
    <row r="12" spans="2:42" ht="12.75">
      <c r="B12" s="44" t="s">
        <v>127</v>
      </c>
      <c r="C12" s="45" t="e">
        <f>'Existing Management Practices'!B78</f>
        <v>#DIV/0!</v>
      </c>
      <c r="D12" s="45">
        <f>'Existing Management Practices'!C78</f>
        <v>0</v>
      </c>
      <c r="E12" s="45">
        <f>'Existing Management Practices'!D78</f>
        <v>0</v>
      </c>
      <c r="F12" s="952">
        <f>'Existing Management Practices'!E78</f>
        <v>0</v>
      </c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  <c r="V12" s="365"/>
      <c r="W12" s="365"/>
      <c r="X12" s="365"/>
      <c r="Y12" s="365"/>
      <c r="Z12" s="365"/>
      <c r="AA12" s="365"/>
      <c r="AB12" s="365"/>
      <c r="AC12" s="365"/>
      <c r="AD12" s="365"/>
      <c r="AE12" s="365"/>
      <c r="AF12" s="365"/>
      <c r="AG12" s="365"/>
      <c r="AH12" s="365"/>
      <c r="AI12" s="365"/>
      <c r="AJ12" s="365"/>
      <c r="AK12" s="365"/>
      <c r="AL12" s="365"/>
      <c r="AM12" s="365"/>
      <c r="AN12" s="365"/>
      <c r="AO12" s="365"/>
      <c r="AP12" s="365"/>
    </row>
    <row r="13" spans="2:42" ht="12.75">
      <c r="B13" s="44" t="s">
        <v>86</v>
      </c>
      <c r="C13" s="45" t="e">
        <f>'Existing Management Practices'!C90</f>
        <v>#DIV/0!</v>
      </c>
      <c r="D13" s="45">
        <f>'Existing Management Practices'!C91</f>
        <v>0</v>
      </c>
      <c r="E13" s="45">
        <f>'Existing Management Practices'!C92</f>
        <v>0</v>
      </c>
      <c r="F13" s="952">
        <v>1</v>
      </c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5"/>
      <c r="AK13" s="365"/>
      <c r="AL13" s="365"/>
      <c r="AM13" s="365"/>
      <c r="AN13" s="365"/>
      <c r="AO13" s="365"/>
      <c r="AP13" s="365"/>
    </row>
    <row r="14" spans="2:42" ht="12.75">
      <c r="B14" s="44" t="s">
        <v>139</v>
      </c>
      <c r="C14" s="45" t="e">
        <f>SUM('Existing Management Practices'!C97:C98)/'Primary Sources'!D54/'Primary Sources'!E54*100</f>
        <v>#DIV/0!</v>
      </c>
      <c r="D14" s="45">
        <f>('Existing Management Practices'!D98/'Existing Management Practices'!D97*'Existing Management Practices'!C98+'Existing Management Practices'!C97)/MAX('Existing Management Practices'!C97+'Existing Management Practices'!C98,1)</f>
        <v>0</v>
      </c>
      <c r="E14" s="45">
        <f>'Existing Management Practices'!C100</f>
        <v>0</v>
      </c>
      <c r="F14" s="952">
        <v>1</v>
      </c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Q14" s="365"/>
      <c r="R14" s="365"/>
      <c r="S14" s="365"/>
      <c r="T14" s="365"/>
      <c r="U14" s="365"/>
      <c r="V14" s="365"/>
      <c r="W14" s="365"/>
      <c r="X14" s="365"/>
      <c r="Y14" s="365"/>
      <c r="Z14" s="365"/>
      <c r="AA14" s="365"/>
      <c r="AB14" s="365"/>
      <c r="AC14" s="365"/>
      <c r="AD14" s="365"/>
      <c r="AE14" s="365"/>
      <c r="AF14" s="365"/>
      <c r="AG14" s="365"/>
      <c r="AH14" s="365"/>
      <c r="AI14" s="365"/>
      <c r="AJ14" s="365"/>
      <c r="AK14" s="365"/>
      <c r="AL14" s="365"/>
      <c r="AM14" s="365"/>
      <c r="AN14" s="365"/>
      <c r="AO14" s="365"/>
      <c r="AP14" s="365"/>
    </row>
    <row r="15" spans="2:42" ht="13.5" thickBot="1">
      <c r="B15" s="47" t="s">
        <v>142</v>
      </c>
      <c r="C15" s="953">
        <f>MIN(IF('Secondary Sources'!C85&gt;0,'Existing Management Practices'!C104*'Existing Management Practices'!C105/'Secondary Sources'!C85,0),1)</f>
        <v>0</v>
      </c>
      <c r="D15" s="953">
        <f>'Existing Management Practices'!C106</f>
        <v>0.9</v>
      </c>
      <c r="E15" s="953">
        <v>1</v>
      </c>
      <c r="F15" s="954">
        <v>1</v>
      </c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Q15" s="365"/>
      <c r="R15" s="365"/>
      <c r="S15" s="365"/>
      <c r="T15" s="365"/>
      <c r="U15" s="365"/>
      <c r="V15" s="365"/>
      <c r="W15" s="365"/>
      <c r="X15" s="365"/>
      <c r="Y15" s="365"/>
      <c r="Z15" s="365"/>
      <c r="AA15" s="365"/>
      <c r="AB15" s="365"/>
      <c r="AC15" s="365"/>
      <c r="AD15" s="365"/>
      <c r="AE15" s="365"/>
      <c r="AF15" s="365"/>
      <c r="AG15" s="365"/>
      <c r="AH15" s="365"/>
      <c r="AI15" s="365"/>
      <c r="AJ15" s="365"/>
      <c r="AK15" s="365"/>
      <c r="AL15" s="365"/>
      <c r="AM15" s="365"/>
      <c r="AN15" s="365"/>
      <c r="AO15" s="365"/>
      <c r="AP15" s="365"/>
    </row>
    <row r="16" spans="2:6" s="365" customFormat="1" ht="13.5" thickTop="1">
      <c r="B16" s="501"/>
      <c r="C16" s="370"/>
      <c r="D16" s="370"/>
      <c r="E16" s="370"/>
      <c r="F16" s="370"/>
    </row>
    <row r="17" spans="2:6" s="365" customFormat="1" ht="13.5" thickBot="1">
      <c r="B17" s="501"/>
      <c r="C17" s="370"/>
      <c r="D17" s="370"/>
      <c r="E17" s="370"/>
      <c r="F17" s="370"/>
    </row>
    <row r="18" spans="2:9" s="365" customFormat="1" ht="21.75" thickBot="1" thickTop="1">
      <c r="B18" s="435" t="s">
        <v>159</v>
      </c>
      <c r="C18" s="455"/>
      <c r="D18" s="455"/>
      <c r="E18" s="455"/>
      <c r="F18" s="443"/>
      <c r="G18" s="431"/>
      <c r="H18" s="377"/>
      <c r="I18" s="377"/>
    </row>
    <row r="19" spans="2:42" ht="12.75">
      <c r="B19" s="41"/>
      <c r="C19" s="42" t="s">
        <v>157</v>
      </c>
      <c r="D19" s="42" t="s">
        <v>156</v>
      </c>
      <c r="E19" s="42" t="s">
        <v>155</v>
      </c>
      <c r="F19" s="43" t="s">
        <v>154</v>
      </c>
      <c r="G19" s="365"/>
      <c r="H19" s="365"/>
      <c r="I19" s="365"/>
      <c r="J19" s="365"/>
      <c r="K19" s="365"/>
      <c r="L19" s="365"/>
      <c r="M19" s="365"/>
      <c r="N19" s="365"/>
      <c r="O19" s="365"/>
      <c r="P19" s="365"/>
      <c r="Q19" s="365"/>
      <c r="R19" s="365"/>
      <c r="S19" s="365"/>
      <c r="T19" s="365"/>
      <c r="U19" s="365"/>
      <c r="V19" s="365"/>
      <c r="W19" s="365"/>
      <c r="X19" s="365"/>
      <c r="Y19" s="365"/>
      <c r="Z19" s="365"/>
      <c r="AA19" s="365"/>
      <c r="AB19" s="365"/>
      <c r="AC19" s="365"/>
      <c r="AD19" s="365"/>
      <c r="AE19" s="365"/>
      <c r="AF19" s="365"/>
      <c r="AG19" s="365"/>
      <c r="AH19" s="365"/>
      <c r="AI19" s="365"/>
      <c r="AJ19" s="365"/>
      <c r="AK19" s="365"/>
      <c r="AL19" s="365"/>
      <c r="AM19" s="365"/>
      <c r="AN19" s="365"/>
      <c r="AO19" s="365"/>
      <c r="AP19" s="365"/>
    </row>
    <row r="20" spans="2:42" ht="12.75">
      <c r="B20" s="44" t="s">
        <v>104</v>
      </c>
      <c r="C20" s="311">
        <f>'Existing Management Practices'!C112*'Discounts - Existing'!$C7*'Discounts - Existing'!$D7*'Discounts - Existing'!$E7*'Discounts - Existing'!$F7</f>
        <v>0</v>
      </c>
      <c r="D20" s="311">
        <f>'Existing Management Practices'!D112*'Discounts - Existing'!$C7*'Discounts - Existing'!$D7*'Discounts - Existing'!$E7*'Discounts - Existing'!$F7</f>
        <v>0</v>
      </c>
      <c r="E20" s="311">
        <f>'Existing Management Practices'!E112*'Discounts - Existing'!$C7*'Discounts - Existing'!$D7*'Discounts - Existing'!$E7*'Discounts - Existing'!$F7</f>
        <v>0</v>
      </c>
      <c r="F20" s="308">
        <f>'Existing Management Practices'!F112*'Discounts - Existing'!$C7*'Discounts - Existing'!$D7*'Discounts - Existing'!$E7*'Discounts - Existing'!$F7</f>
        <v>0</v>
      </c>
      <c r="G20" s="365"/>
      <c r="H20" s="365"/>
      <c r="I20" s="365"/>
      <c r="J20" s="365"/>
      <c r="K20" s="365"/>
      <c r="L20" s="365"/>
      <c r="M20" s="365"/>
      <c r="N20" s="365"/>
      <c r="O20" s="365"/>
      <c r="P20" s="365"/>
      <c r="Q20" s="365"/>
      <c r="R20" s="365"/>
      <c r="S20" s="365"/>
      <c r="T20" s="365"/>
      <c r="U20" s="365"/>
      <c r="V20" s="365"/>
      <c r="W20" s="365"/>
      <c r="X20" s="365"/>
      <c r="Y20" s="365"/>
      <c r="Z20" s="365"/>
      <c r="AA20" s="365"/>
      <c r="AB20" s="365"/>
      <c r="AC20" s="365"/>
      <c r="AD20" s="365"/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/>
      <c r="AP20" s="365"/>
    </row>
    <row r="21" spans="2:42" ht="12.75">
      <c r="B21" s="44" t="s">
        <v>105</v>
      </c>
      <c r="C21" s="311">
        <f>'Existing Management Practices'!C113*'Discounts - Existing'!$C8*'Discounts - Existing'!$D8*'Discounts - Existing'!$E8*'Discounts - Existing'!$F8</f>
        <v>0</v>
      </c>
      <c r="D21" s="311">
        <f>'Existing Management Practices'!D113*'Discounts - Existing'!$C8*'Discounts - Existing'!$D8*'Discounts - Existing'!$E8*'Discounts - Existing'!$F8</f>
        <v>0</v>
      </c>
      <c r="E21" s="311">
        <f>'Existing Management Practices'!E113*'Discounts - Existing'!$C8*'Discounts - Existing'!$D8*'Discounts - Existing'!$E8*'Discounts - Existing'!$F8</f>
        <v>0</v>
      </c>
      <c r="F21" s="308">
        <f>'Existing Management Practices'!F113*'Discounts - Existing'!$C8*'Discounts - Existing'!$D8*'Discounts - Existing'!$E8*'Discounts - Existing'!$F8</f>
        <v>0</v>
      </c>
      <c r="G21" s="365"/>
      <c r="H21" s="365"/>
      <c r="I21" s="365"/>
      <c r="J21" s="365"/>
      <c r="K21" s="365"/>
      <c r="L21" s="365"/>
      <c r="M21" s="365"/>
      <c r="N21" s="365"/>
      <c r="O21" s="365"/>
      <c r="P21" s="365"/>
      <c r="Q21" s="365"/>
      <c r="R21" s="365"/>
      <c r="S21" s="365"/>
      <c r="T21" s="365"/>
      <c r="U21" s="365"/>
      <c r="V21" s="365"/>
      <c r="W21" s="365"/>
      <c r="X21" s="365"/>
      <c r="Y21" s="365"/>
      <c r="Z21" s="365"/>
      <c r="AA21" s="365"/>
      <c r="AB21" s="365"/>
      <c r="AC21" s="365"/>
      <c r="AD21" s="365"/>
      <c r="AE21" s="365"/>
      <c r="AF21" s="365"/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</row>
    <row r="22" spans="1:42" s="25" customFormat="1" ht="12.75">
      <c r="A22" s="370"/>
      <c r="B22" s="44" t="s">
        <v>114</v>
      </c>
      <c r="C22" s="311">
        <f>'Existing Management Practices'!C114*'Discounts - Existing'!$C9*'Discounts - Existing'!$D9*'Discounts - Existing'!$E9*'Discounts - Existing'!$F9</f>
        <v>0</v>
      </c>
      <c r="D22" s="311">
        <f>'Existing Management Practices'!D114*'Discounts - Existing'!$C9*'Discounts - Existing'!$D9*'Discounts - Existing'!$E9*'Discounts - Existing'!$F9</f>
        <v>0</v>
      </c>
      <c r="E22" s="311">
        <f>'Existing Management Practices'!E114*'Discounts - Existing'!$C9*'Discounts - Existing'!$D9*'Discounts - Existing'!$E9*'Discounts - Existing'!$F9</f>
        <v>0</v>
      </c>
      <c r="F22" s="308">
        <f>'Existing Management Practices'!F114*'Discounts - Existing'!$C9*'Discounts - Existing'!$D9*'Discounts - Existing'!$E9*'Discounts - Existing'!$F9</f>
        <v>0</v>
      </c>
      <c r="G22" s="377"/>
      <c r="H22" s="368"/>
      <c r="I22" s="370"/>
      <c r="J22" s="370"/>
      <c r="K22" s="370"/>
      <c r="L22" s="370"/>
      <c r="M22" s="370"/>
      <c r="N22" s="370"/>
      <c r="O22" s="370"/>
      <c r="P22" s="370"/>
      <c r="Q22" s="370"/>
      <c r="R22" s="370"/>
      <c r="S22" s="370"/>
      <c r="T22" s="370"/>
      <c r="U22" s="370"/>
      <c r="V22" s="370"/>
      <c r="W22" s="370"/>
      <c r="X22" s="370"/>
      <c r="Y22" s="370"/>
      <c r="Z22" s="370"/>
      <c r="AA22" s="370"/>
      <c r="AB22" s="370"/>
      <c r="AC22" s="370"/>
      <c r="AD22" s="370"/>
      <c r="AE22" s="370"/>
      <c r="AF22" s="370"/>
      <c r="AG22" s="370"/>
      <c r="AH22" s="370"/>
      <c r="AI22" s="370"/>
      <c r="AJ22" s="370"/>
      <c r="AK22" s="370"/>
      <c r="AL22" s="370"/>
      <c r="AM22" s="370"/>
      <c r="AN22" s="370"/>
      <c r="AO22" s="370"/>
      <c r="AP22" s="370"/>
    </row>
    <row r="23" spans="2:42" ht="12.75">
      <c r="B23" s="44" t="s">
        <v>84</v>
      </c>
      <c r="C23" s="311">
        <f>'Existing Management Practices'!C115*'Discounts - Existing'!$C10*'Discounts - Existing'!$D10*'Discounts - Existing'!$E10*$F10</f>
        <v>0</v>
      </c>
      <c r="D23" s="311">
        <f>'Existing Management Practices'!D115*'Discounts - Existing'!$C10*'Discounts - Existing'!$D10*'Discounts - Existing'!$E10*$F10</f>
        <v>0</v>
      </c>
      <c r="E23" s="311">
        <f>'Existing Management Practices'!E115*'Discounts - Existing'!$C10*'Discounts - Existing'!$D10*'Discounts - Existing'!$E10*$F10</f>
        <v>0</v>
      </c>
      <c r="F23" s="308">
        <f>'Existing Management Practices'!F115*'Discounts - Existing'!$C10*'Discounts - Existing'!$D10*'Discounts - Existing'!$E10*$F10</f>
        <v>0</v>
      </c>
      <c r="G23" s="365"/>
      <c r="H23" s="365"/>
      <c r="I23" s="365"/>
      <c r="J23" s="365"/>
      <c r="K23" s="365"/>
      <c r="L23" s="365"/>
      <c r="M23" s="365"/>
      <c r="N23" s="365"/>
      <c r="O23" s="365"/>
      <c r="P23" s="365"/>
      <c r="Q23" s="365"/>
      <c r="R23" s="365"/>
      <c r="S23" s="365"/>
      <c r="T23" s="365"/>
      <c r="U23" s="365"/>
      <c r="V23" s="365"/>
      <c r="W23" s="365"/>
      <c r="X23" s="365"/>
      <c r="Y23" s="365"/>
      <c r="Z23" s="365"/>
      <c r="AA23" s="365"/>
      <c r="AB23" s="365"/>
      <c r="AC23" s="365"/>
      <c r="AD23" s="365"/>
      <c r="AE23" s="365"/>
      <c r="AF23" s="365"/>
      <c r="AG23" s="365"/>
      <c r="AH23" s="365"/>
      <c r="AI23" s="365"/>
      <c r="AJ23" s="365"/>
      <c r="AK23" s="365"/>
      <c r="AL23" s="365"/>
      <c r="AM23" s="365"/>
      <c r="AN23" s="365"/>
      <c r="AO23" s="365"/>
      <c r="AP23" s="365"/>
    </row>
    <row r="24" spans="2:42" ht="12.75">
      <c r="B24" s="44" t="s">
        <v>220</v>
      </c>
      <c r="C24" s="311"/>
      <c r="D24" s="311"/>
      <c r="E24" s="311" t="e">
        <f>'Existing Management Practices'!E116*'Discounts - Existing'!E10</f>
        <v>#DIV/0!</v>
      </c>
      <c r="F24" s="308"/>
      <c r="G24" s="365"/>
      <c r="H24" s="365"/>
      <c r="I24" s="365"/>
      <c r="J24" s="365"/>
      <c r="K24" s="365"/>
      <c r="L24" s="365"/>
      <c r="M24" s="365"/>
      <c r="N24" s="365"/>
      <c r="O24" s="365"/>
      <c r="P24" s="365"/>
      <c r="Q24" s="365"/>
      <c r="R24" s="365"/>
      <c r="S24" s="365"/>
      <c r="T24" s="365"/>
      <c r="U24" s="365"/>
      <c r="V24" s="365"/>
      <c r="W24" s="365"/>
      <c r="X24" s="365"/>
      <c r="Y24" s="365"/>
      <c r="Z24" s="365"/>
      <c r="AA24" s="365"/>
      <c r="AB24" s="365"/>
      <c r="AC24" s="365"/>
      <c r="AD24" s="365"/>
      <c r="AE24" s="365"/>
      <c r="AF24" s="365"/>
      <c r="AG24" s="365"/>
      <c r="AH24" s="365"/>
      <c r="AI24" s="365"/>
      <c r="AJ24" s="365"/>
      <c r="AK24" s="365"/>
      <c r="AL24" s="365"/>
      <c r="AM24" s="365"/>
      <c r="AN24" s="365"/>
      <c r="AO24" s="365"/>
      <c r="AP24" s="365"/>
    </row>
    <row r="25" spans="2:42" ht="12.75">
      <c r="B25" s="44" t="s">
        <v>85</v>
      </c>
      <c r="C25" s="311">
        <f>'Existing Management Practices'!C117+'Existing Management Practices'!C118</f>
        <v>0</v>
      </c>
      <c r="D25" s="311">
        <f>'Existing Management Practices'!D117+'Existing Management Practices'!D118</f>
        <v>0</v>
      </c>
      <c r="E25" s="311">
        <f>'Existing Management Practices'!E117+'Existing Management Practices'!E118</f>
        <v>0</v>
      </c>
      <c r="F25" s="308">
        <f>'Existing Management Practices'!F117+'Existing Management Practices'!F118</f>
        <v>0</v>
      </c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</row>
    <row r="26" spans="2:42" ht="12.75">
      <c r="B26" s="44" t="s">
        <v>127</v>
      </c>
      <c r="C26" s="311" t="e">
        <f>'Existing Management Practices'!C119*(1-(C$21+SUM(C$23:C$25)+C$20*'Existing Management Practices'!E$16)/MAX(SUM('Primary Sources'!N$11:N$35),1))*$C12*$D12*$E12*$F12</f>
        <v>#DIV/0!</v>
      </c>
      <c r="D26" s="311" t="e">
        <f>'Existing Management Practices'!D119*(1-(D$21+SUM(D$23:D$25)+D$20*'Existing Management Practices'!F$16)/MAX(SUM('Primary Sources'!O$11:O$35),1))*$C12*$D12*$E12*$F12</f>
        <v>#DIV/0!</v>
      </c>
      <c r="E26" s="311" t="e">
        <f>'Existing Management Practices'!E119*(1-(E$21+SUM(E$23:E$25)+E$20*'Existing Management Practices'!G$16)/MAX(SUM('Primary Sources'!P$11:P$35),1))*$C12*$D12*$E12*$F12</f>
        <v>#DIV/0!</v>
      </c>
      <c r="F26" s="308" t="e">
        <f>'Existing Management Practices'!F119*(1-(F$21+SUM(F$23:F$25)+F$20*'Existing Management Practices'!H$16)/MAX(SUM('Primary Sources'!Q$11:Q$35),1))*$C12*$D12*$E12*$F12</f>
        <v>#DIV/0!</v>
      </c>
      <c r="G26" s="365"/>
      <c r="H26" s="365"/>
      <c r="I26" s="365"/>
      <c r="J26" s="365"/>
      <c r="K26" s="365"/>
      <c r="L26" s="365"/>
      <c r="M26" s="365"/>
      <c r="N26" s="365"/>
      <c r="O26" s="365"/>
      <c r="P26" s="365"/>
      <c r="Q26" s="365"/>
      <c r="R26" s="365"/>
      <c r="S26" s="365"/>
      <c r="T26" s="365"/>
      <c r="U26" s="365"/>
      <c r="V26" s="365"/>
      <c r="W26" s="365"/>
      <c r="X26" s="365"/>
      <c r="Y26" s="365"/>
      <c r="Z26" s="365"/>
      <c r="AA26" s="365"/>
      <c r="AB26" s="365"/>
      <c r="AC26" s="365"/>
      <c r="AD26" s="365"/>
      <c r="AE26" s="365"/>
      <c r="AF26" s="365"/>
      <c r="AG26" s="365"/>
      <c r="AH26" s="365"/>
      <c r="AI26" s="365"/>
      <c r="AJ26" s="365"/>
      <c r="AK26" s="365"/>
      <c r="AL26" s="365"/>
      <c r="AM26" s="365"/>
      <c r="AN26" s="365"/>
      <c r="AO26" s="365"/>
      <c r="AP26" s="365"/>
    </row>
    <row r="27" spans="2:42" ht="12.75">
      <c r="B27" s="44" t="s">
        <v>86</v>
      </c>
      <c r="C27" s="311" t="e">
        <f>'Existing Management Practices'!C120*(1-(C$21+SUM(C$23:C$25)+C$20*'Existing Management Practices'!E$16)/MAX(SUM('Primary Sources'!N$11:N$35),1))*$C13*$D13*$E13*$F13</f>
        <v>#DIV/0!</v>
      </c>
      <c r="D27" s="311" t="e">
        <f>'Existing Management Practices'!D120*(1-(D$21+SUM(D$23:D$25)+D$20*'Existing Management Practices'!F$16)/MAX(SUM('Primary Sources'!O$11:O$35),1))*$C13*$D13*$E13*$F13</f>
        <v>#DIV/0!</v>
      </c>
      <c r="E27" s="311" t="e">
        <f>'Existing Management Practices'!E120*(1-(E$21+SUM(E$23:E$25)+E$20*'Existing Management Practices'!G$16)/MAX(SUM('Primary Sources'!P$11:P$35),1))*$C13*$D13*$E13*$F13</f>
        <v>#DIV/0!</v>
      </c>
      <c r="F27" s="308" t="e">
        <f>'Existing Management Practices'!F120*(1-(F$21+SUM(F$23:F$25)+F$20*'Existing Management Practices'!H$16)/MAX(SUM('Primary Sources'!Q$11:Q$35),1))*$C13*$D13*$E13*$F13</f>
        <v>#DIV/0!</v>
      </c>
      <c r="G27" s="365"/>
      <c r="H27" s="365"/>
      <c r="I27" s="365"/>
      <c r="J27" s="365"/>
      <c r="K27" s="365"/>
      <c r="L27" s="365"/>
      <c r="M27" s="365"/>
      <c r="N27" s="365"/>
      <c r="O27" s="365"/>
      <c r="P27" s="365"/>
      <c r="Q27" s="365"/>
      <c r="R27" s="365"/>
      <c r="S27" s="365"/>
      <c r="T27" s="365"/>
      <c r="U27" s="365"/>
      <c r="V27" s="365"/>
      <c r="W27" s="365"/>
      <c r="X27" s="365"/>
      <c r="Y27" s="365"/>
      <c r="Z27" s="365"/>
      <c r="AA27" s="365"/>
      <c r="AB27" s="365"/>
      <c r="AC27" s="365"/>
      <c r="AD27" s="365"/>
      <c r="AE27" s="365"/>
      <c r="AF27" s="365"/>
      <c r="AG27" s="365"/>
      <c r="AH27" s="365"/>
      <c r="AI27" s="365"/>
      <c r="AJ27" s="365"/>
      <c r="AK27" s="365"/>
      <c r="AL27" s="365"/>
      <c r="AM27" s="365"/>
      <c r="AN27" s="365"/>
      <c r="AO27" s="365"/>
      <c r="AP27" s="365"/>
    </row>
    <row r="28" spans="2:42" ht="12.75">
      <c r="B28" s="44" t="s">
        <v>139</v>
      </c>
      <c r="C28" s="311" t="e">
        <f>'Existing Management Practices'!C121*(1-(C$21+SUM(C$23:C$25)+C$20*'Existing Management Practices'!E$16)/MAX(SUM('Primary Sources'!N$11:N$35),1))*$C14*$D14*$E14*$F14</f>
        <v>#DIV/0!</v>
      </c>
      <c r="D28" s="311" t="e">
        <f>'Existing Management Practices'!D121*(1-(D$21+SUM(D$23:D$25)+D$20*'Existing Management Practices'!F$16)/MAX(SUM('Primary Sources'!O$11:O$35),1))*$C14*$D14*$E14*$F14</f>
        <v>#DIV/0!</v>
      </c>
      <c r="E28" s="311" t="e">
        <f>'Existing Management Practices'!E121*(1-(E$21+SUM(E$23:E$25)+E$20*'Existing Management Practices'!G$16)/MAX(SUM('Primary Sources'!P$11:P$35),1))*$C14*$D14*$E14*$F14</f>
        <v>#DIV/0!</v>
      </c>
      <c r="F28" s="308" t="e">
        <f>'Existing Management Practices'!F121*(1-(F$21+SUM(F$23:F$25)+F$20*'Existing Management Practices'!H$16)/MAX(SUM('Primary Sources'!Q$11:Q$35),1))*$C14*$D14*$E14*$F14</f>
        <v>#DIV/0!</v>
      </c>
      <c r="G28" s="365"/>
      <c r="H28" s="365"/>
      <c r="I28" s="365"/>
      <c r="J28" s="365"/>
      <c r="K28" s="365"/>
      <c r="L28" s="365"/>
      <c r="M28" s="365"/>
      <c r="N28" s="365"/>
      <c r="O28" s="365"/>
      <c r="P28" s="365"/>
      <c r="Q28" s="365"/>
      <c r="R28" s="365"/>
      <c r="S28" s="365"/>
      <c r="T28" s="365"/>
      <c r="U28" s="365"/>
      <c r="V28" s="365"/>
      <c r="W28" s="365"/>
      <c r="X28" s="365"/>
      <c r="Y28" s="365"/>
      <c r="Z28" s="365"/>
      <c r="AA28" s="365"/>
      <c r="AB28" s="365"/>
      <c r="AC28" s="365"/>
      <c r="AD28" s="365"/>
      <c r="AE28" s="365"/>
      <c r="AF28" s="365"/>
      <c r="AG28" s="365"/>
      <c r="AH28" s="365"/>
      <c r="AI28" s="365"/>
      <c r="AJ28" s="365"/>
      <c r="AK28" s="365"/>
      <c r="AL28" s="365"/>
      <c r="AM28" s="365"/>
      <c r="AN28" s="365"/>
      <c r="AO28" s="365"/>
      <c r="AP28" s="365"/>
    </row>
    <row r="29" spans="2:42" ht="13.5" thickBot="1">
      <c r="B29" s="225" t="s">
        <v>142</v>
      </c>
      <c r="C29" s="320">
        <f>'Existing Management Practices'!C122*'Discounts - Existing'!$C15*'Discounts - Existing'!$D15*'Discounts - Existing'!$E15*'Discounts - Existing'!$F15</f>
        <v>0</v>
      </c>
      <c r="D29" s="320">
        <f>'Existing Management Practices'!D122*'Discounts - Existing'!$C15*'Discounts - Existing'!$D15*'Discounts - Existing'!$E15*'Discounts - Existing'!$F15</f>
        <v>0</v>
      </c>
      <c r="E29" s="320">
        <f>'Existing Management Practices'!E122*'Discounts - Existing'!$C15*'Discounts - Existing'!$D15*'Discounts - Existing'!$E15*'Discounts - Existing'!$F15</f>
        <v>0</v>
      </c>
      <c r="F29" s="321">
        <f>'Existing Management Practices'!F122*'Discounts - Existing'!$C15*'Discounts - Existing'!$D15*'Discounts - Existing'!$E15*'Discounts - Existing'!$F15</f>
        <v>0</v>
      </c>
      <c r="G29" s="365"/>
      <c r="H29" s="365"/>
      <c r="I29" s="365"/>
      <c r="J29" s="365"/>
      <c r="K29" s="365"/>
      <c r="L29" s="365"/>
      <c r="M29" s="365"/>
      <c r="N29" s="365"/>
      <c r="O29" s="365"/>
      <c r="P29" s="365"/>
      <c r="Q29" s="365"/>
      <c r="R29" s="365"/>
      <c r="S29" s="365"/>
      <c r="T29" s="365"/>
      <c r="U29" s="365"/>
      <c r="V29" s="365"/>
      <c r="W29" s="365"/>
      <c r="X29" s="365"/>
      <c r="Y29" s="365"/>
      <c r="Z29" s="365"/>
      <c r="AA29" s="365"/>
      <c r="AB29" s="365"/>
      <c r="AC29" s="365"/>
      <c r="AD29" s="365"/>
      <c r="AE29" s="365"/>
      <c r="AF29" s="365"/>
      <c r="AG29" s="365"/>
      <c r="AH29" s="365"/>
      <c r="AI29" s="365"/>
      <c r="AJ29" s="365"/>
      <c r="AK29" s="365"/>
      <c r="AL29" s="365"/>
      <c r="AM29" s="365"/>
      <c r="AN29" s="365"/>
      <c r="AO29" s="365"/>
      <c r="AP29" s="365"/>
    </row>
    <row r="30" spans="2:42" ht="13.5" thickBot="1">
      <c r="B30" s="226" t="s">
        <v>160</v>
      </c>
      <c r="C30" s="322" t="e">
        <f>SUM(C20:C29)</f>
        <v>#DIV/0!</v>
      </c>
      <c r="D30" s="322" t="e">
        <f>SUM(D20:D29)</f>
        <v>#DIV/0!</v>
      </c>
      <c r="E30" s="322" t="e">
        <f>SUM(E20:E29)</f>
        <v>#DIV/0!</v>
      </c>
      <c r="F30" s="323" t="e">
        <f>SUM(F20:F29)</f>
        <v>#DIV/0!</v>
      </c>
      <c r="G30" s="365"/>
      <c r="H30" s="365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5"/>
      <c r="X30" s="365"/>
      <c r="Y30" s="365"/>
      <c r="Z30" s="365"/>
      <c r="AA30" s="365"/>
      <c r="AB30" s="365"/>
      <c r="AC30" s="365"/>
      <c r="AD30" s="365"/>
      <c r="AE30" s="365"/>
      <c r="AF30" s="365"/>
      <c r="AG30" s="365"/>
      <c r="AH30" s="365"/>
      <c r="AI30" s="365"/>
      <c r="AJ30" s="365"/>
      <c r="AK30" s="365"/>
      <c r="AL30" s="365"/>
      <c r="AM30" s="365"/>
      <c r="AN30" s="365"/>
      <c r="AO30" s="365"/>
      <c r="AP30" s="365"/>
    </row>
    <row r="31" spans="2:6" s="365" customFormat="1" ht="13.5" thickTop="1">
      <c r="B31" s="501"/>
      <c r="C31" s="370"/>
      <c r="D31" s="370"/>
      <c r="E31" s="370"/>
      <c r="F31" s="370"/>
    </row>
    <row r="32" spans="2:6" s="365" customFormat="1" ht="12.75">
      <c r="B32" s="501"/>
      <c r="C32" s="370"/>
      <c r="D32" s="370"/>
      <c r="E32" s="370"/>
      <c r="F32" s="370"/>
    </row>
    <row r="33" spans="2:6" s="365" customFormat="1" ht="12.75">
      <c r="B33" s="501"/>
      <c r="C33" s="370"/>
      <c r="D33" s="370"/>
      <c r="E33" s="370"/>
      <c r="F33" s="370"/>
    </row>
    <row r="34" spans="2:6" s="365" customFormat="1" ht="12.75">
      <c r="B34" s="501"/>
      <c r="C34" s="536"/>
      <c r="D34" s="370"/>
      <c r="E34" s="370"/>
      <c r="F34" s="370"/>
    </row>
    <row r="35" spans="2:6" s="365" customFormat="1" ht="12.75">
      <c r="B35" s="501"/>
      <c r="C35" s="370"/>
      <c r="D35" s="370"/>
      <c r="E35" s="370"/>
      <c r="F35" s="370"/>
    </row>
    <row r="36" spans="2:6" s="365" customFormat="1" ht="12.75">
      <c r="B36" s="501"/>
      <c r="C36" s="370"/>
      <c r="D36" s="370"/>
      <c r="E36" s="370"/>
      <c r="F36" s="370"/>
    </row>
    <row r="37" spans="2:6" s="365" customFormat="1" ht="12.75">
      <c r="B37" s="501"/>
      <c r="C37" s="370"/>
      <c r="D37" s="370"/>
      <c r="E37" s="370"/>
      <c r="F37" s="370"/>
    </row>
    <row r="38" spans="2:6" s="365" customFormat="1" ht="12.75">
      <c r="B38" s="501"/>
      <c r="C38" s="370"/>
      <c r="D38" s="370"/>
      <c r="E38" s="370"/>
      <c r="F38" s="370"/>
    </row>
    <row r="39" spans="2:6" s="365" customFormat="1" ht="12.75">
      <c r="B39" s="501"/>
      <c r="C39" s="370"/>
      <c r="D39" s="370"/>
      <c r="E39" s="370"/>
      <c r="F39" s="370"/>
    </row>
    <row r="40" spans="2:6" s="365" customFormat="1" ht="12.75">
      <c r="B40" s="501"/>
      <c r="C40" s="370"/>
      <c r="D40" s="370"/>
      <c r="E40" s="370"/>
      <c r="F40" s="370"/>
    </row>
    <row r="41" spans="2:6" s="365" customFormat="1" ht="12.75">
      <c r="B41" s="501"/>
      <c r="C41" s="370"/>
      <c r="D41" s="370"/>
      <c r="E41" s="370"/>
      <c r="F41" s="370"/>
    </row>
    <row r="42" spans="2:6" s="365" customFormat="1" ht="12.75">
      <c r="B42" s="501"/>
      <c r="C42" s="370"/>
      <c r="D42" s="370"/>
      <c r="E42" s="370"/>
      <c r="F42" s="370"/>
    </row>
    <row r="43" spans="2:6" s="365" customFormat="1" ht="12.75">
      <c r="B43" s="501"/>
      <c r="C43" s="370"/>
      <c r="D43" s="370"/>
      <c r="E43" s="370"/>
      <c r="F43" s="370"/>
    </row>
    <row r="44" spans="2:6" s="365" customFormat="1" ht="12.75">
      <c r="B44" s="501"/>
      <c r="C44" s="370"/>
      <c r="D44" s="370"/>
      <c r="E44" s="370"/>
      <c r="F44" s="370"/>
    </row>
    <row r="45" spans="2:6" s="365" customFormat="1" ht="12.75">
      <c r="B45" s="501"/>
      <c r="C45" s="370"/>
      <c r="D45" s="370"/>
      <c r="E45" s="370"/>
      <c r="F45" s="370"/>
    </row>
    <row r="46" spans="2:6" s="365" customFormat="1" ht="12.75">
      <c r="B46" s="501"/>
      <c r="C46" s="370"/>
      <c r="D46" s="370"/>
      <c r="E46" s="370"/>
      <c r="F46" s="370"/>
    </row>
    <row r="47" spans="2:6" s="365" customFormat="1" ht="12.75">
      <c r="B47" s="501"/>
      <c r="C47" s="370"/>
      <c r="D47" s="370"/>
      <c r="E47" s="370"/>
      <c r="F47" s="370"/>
    </row>
    <row r="48" spans="2:6" s="365" customFormat="1" ht="12.75">
      <c r="B48" s="501"/>
      <c r="C48" s="370"/>
      <c r="D48" s="370"/>
      <c r="E48" s="370"/>
      <c r="F48" s="370"/>
    </row>
    <row r="49" spans="2:6" s="365" customFormat="1" ht="12.75">
      <c r="B49" s="501"/>
      <c r="C49" s="370"/>
      <c r="D49" s="370"/>
      <c r="E49" s="370"/>
      <c r="F49" s="370"/>
    </row>
    <row r="50" spans="2:6" s="365" customFormat="1" ht="12.75">
      <c r="B50" s="501"/>
      <c r="C50" s="370"/>
      <c r="D50" s="370"/>
      <c r="E50" s="370"/>
      <c r="F50" s="370"/>
    </row>
    <row r="51" spans="2:6" s="365" customFormat="1" ht="12.75">
      <c r="B51" s="501"/>
      <c r="C51" s="370"/>
      <c r="D51" s="370"/>
      <c r="E51" s="370"/>
      <c r="F51" s="370"/>
    </row>
    <row r="52" spans="2:6" s="365" customFormat="1" ht="12.75">
      <c r="B52" s="501"/>
      <c r="C52" s="370"/>
      <c r="D52" s="370"/>
      <c r="E52" s="370"/>
      <c r="F52" s="370"/>
    </row>
    <row r="53" spans="2:6" s="365" customFormat="1" ht="12.75">
      <c r="B53" s="501"/>
      <c r="C53" s="370"/>
      <c r="D53" s="370"/>
      <c r="E53" s="370"/>
      <c r="F53" s="370"/>
    </row>
    <row r="54" spans="2:6" s="365" customFormat="1" ht="12.75">
      <c r="B54" s="501"/>
      <c r="C54" s="370"/>
      <c r="D54" s="370"/>
      <c r="E54" s="370"/>
      <c r="F54" s="370"/>
    </row>
    <row r="55" spans="2:6" s="365" customFormat="1" ht="12.75">
      <c r="B55" s="501"/>
      <c r="C55" s="370"/>
      <c r="D55" s="370"/>
      <c r="E55" s="370"/>
      <c r="F55" s="370"/>
    </row>
    <row r="56" spans="2:6" s="365" customFormat="1" ht="12.75">
      <c r="B56" s="501"/>
      <c r="C56" s="370"/>
      <c r="D56" s="370"/>
      <c r="E56" s="370"/>
      <c r="F56" s="370"/>
    </row>
    <row r="57" spans="2:6" s="365" customFormat="1" ht="12.75">
      <c r="B57" s="501"/>
      <c r="C57" s="370"/>
      <c r="D57" s="370"/>
      <c r="E57" s="370"/>
      <c r="F57" s="370"/>
    </row>
    <row r="58" spans="2:6" s="365" customFormat="1" ht="12.75">
      <c r="B58" s="501"/>
      <c r="C58" s="370"/>
      <c r="D58" s="370"/>
      <c r="E58" s="370"/>
      <c r="F58" s="370"/>
    </row>
    <row r="59" spans="2:6" s="365" customFormat="1" ht="12.75">
      <c r="B59" s="501"/>
      <c r="C59" s="370"/>
      <c r="D59" s="370"/>
      <c r="E59" s="370"/>
      <c r="F59" s="370"/>
    </row>
    <row r="60" spans="2:6" s="365" customFormat="1" ht="12.75">
      <c r="B60" s="501"/>
      <c r="C60" s="370"/>
      <c r="D60" s="370"/>
      <c r="E60" s="370"/>
      <c r="F60" s="370"/>
    </row>
    <row r="61" spans="2:6" s="365" customFormat="1" ht="12.75">
      <c r="B61" s="501"/>
      <c r="C61" s="370"/>
      <c r="D61" s="370"/>
      <c r="E61" s="370"/>
      <c r="F61" s="370"/>
    </row>
    <row r="62" spans="2:6" s="365" customFormat="1" ht="12.75">
      <c r="B62" s="501"/>
      <c r="C62" s="370"/>
      <c r="D62" s="370"/>
      <c r="E62" s="370"/>
      <c r="F62" s="370"/>
    </row>
    <row r="63" spans="2:6" s="365" customFormat="1" ht="12.75">
      <c r="B63" s="501"/>
      <c r="C63" s="370"/>
      <c r="D63" s="370"/>
      <c r="E63" s="370"/>
      <c r="F63" s="370"/>
    </row>
    <row r="64" spans="2:6" s="365" customFormat="1" ht="12.75">
      <c r="B64" s="501"/>
      <c r="C64" s="370"/>
      <c r="D64" s="370"/>
      <c r="E64" s="370"/>
      <c r="F64" s="370"/>
    </row>
    <row r="65" spans="2:6" s="365" customFormat="1" ht="12.75">
      <c r="B65" s="501"/>
      <c r="C65" s="370"/>
      <c r="D65" s="370"/>
      <c r="E65" s="370"/>
      <c r="F65" s="370"/>
    </row>
    <row r="66" spans="2:6" s="365" customFormat="1" ht="12.75">
      <c r="B66" s="501"/>
      <c r="C66" s="370"/>
      <c r="D66" s="370"/>
      <c r="E66" s="370"/>
      <c r="F66" s="370"/>
    </row>
    <row r="67" spans="2:6" s="365" customFormat="1" ht="12.75">
      <c r="B67" s="501"/>
      <c r="C67" s="370"/>
      <c r="D67" s="370"/>
      <c r="E67" s="370"/>
      <c r="F67" s="370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5:I73"/>
  <sheetViews>
    <sheetView zoomScale="75" zoomScaleNormal="75" workbookViewId="0" topLeftCell="B30">
      <selection activeCell="C43" sqref="C43"/>
    </sheetView>
  </sheetViews>
  <sheetFormatPr defaultColWidth="9.140625" defaultRowHeight="12.75"/>
  <cols>
    <col min="2" max="2" width="55.7109375" style="34" customWidth="1"/>
    <col min="3" max="3" width="23.421875" style="25" customWidth="1"/>
    <col min="4" max="4" width="12.7109375" style="25" customWidth="1"/>
    <col min="5" max="5" width="14.7109375" style="25" customWidth="1"/>
    <col min="6" max="6" width="24.8515625" style="25" customWidth="1"/>
  </cols>
  <sheetData>
    <row r="1" ht="12.75"/>
    <row r="2" ht="12.75"/>
    <row r="3" ht="12.75"/>
    <row r="4" ht="13.5" thickBot="1"/>
    <row r="5" spans="2:6" ht="21.75" thickBot="1" thickTop="1">
      <c r="B5" s="26" t="s">
        <v>360</v>
      </c>
      <c r="C5" s="28"/>
      <c r="D5" s="28"/>
      <c r="E5" s="28"/>
      <c r="F5" s="32"/>
    </row>
    <row r="6" spans="2:6" ht="12.75">
      <c r="B6" s="41"/>
      <c r="C6" s="42" t="s">
        <v>353</v>
      </c>
      <c r="D6" s="42" t="s">
        <v>145</v>
      </c>
      <c r="E6" s="42" t="s">
        <v>146</v>
      </c>
      <c r="F6" s="43" t="s">
        <v>147</v>
      </c>
    </row>
    <row r="7" spans="2:6" ht="12.75">
      <c r="B7" s="44" t="s">
        <v>104</v>
      </c>
      <c r="C7" s="399">
        <f>'Future Management Practices'!C10*'Future Management Practices'!C11</f>
        <v>0.507</v>
      </c>
      <c r="D7" s="399">
        <f>'Future Management Practices'!C12</f>
        <v>0</v>
      </c>
      <c r="E7" s="399">
        <f>'Future Management Practices'!C13</f>
        <v>0.7</v>
      </c>
      <c r="F7" s="403">
        <v>1</v>
      </c>
    </row>
    <row r="8" spans="2:7" ht="12.75">
      <c r="B8" s="44" t="s">
        <v>105</v>
      </c>
      <c r="C8" s="399">
        <f>'Future Management Practices'!C24*(1-'Future Management Practices'!C25)</f>
        <v>0.2</v>
      </c>
      <c r="D8" s="399">
        <f>'Future Management Practices'!C27</f>
        <v>0</v>
      </c>
      <c r="E8" s="399">
        <f>'Future Management Practices'!C26</f>
        <v>0.6</v>
      </c>
      <c r="F8" s="403">
        <v>1</v>
      </c>
      <c r="G8" s="33"/>
    </row>
    <row r="9" spans="2:7" ht="12.75">
      <c r="B9" s="44" t="s">
        <v>114</v>
      </c>
      <c r="C9" s="399">
        <f>'Future Management Practices'!C39</f>
        <v>0</v>
      </c>
      <c r="D9" s="399">
        <f>'Future Management Practices'!C40</f>
        <v>0</v>
      </c>
      <c r="E9" s="399">
        <f>'Future Management Practices'!C41</f>
        <v>0</v>
      </c>
      <c r="F9" s="403">
        <v>1</v>
      </c>
      <c r="G9" s="33"/>
    </row>
    <row r="10" spans="2:8" ht="12.75">
      <c r="B10" s="44" t="s">
        <v>84</v>
      </c>
      <c r="C10" s="399">
        <v>1</v>
      </c>
      <c r="D10" s="399">
        <f>IF(SUM('Future Management Practices'!C46:E48)&gt;0,(IF('Future Management Practices'!C49="M",0.6,1)*SUM('Future Management Practices'!C46:C48)+IF('Future Management Practices'!D49="M",0.6,1)*SUM('Future Management Practices'!D46:D48)+IF('Future Management Practices'!E49="M",0.6,1)*SUM('Future Management Practices'!E46:E48))/SUM('Future Management Practices'!C46:E48),1)</f>
        <v>1</v>
      </c>
      <c r="E10" s="399">
        <f>'Future Management Practices'!C51</f>
        <v>0</v>
      </c>
      <c r="F10" s="403">
        <v>1</v>
      </c>
      <c r="G10" s="33"/>
      <c r="H10" s="33"/>
    </row>
    <row r="11" spans="2:7" ht="12.75">
      <c r="B11" s="44" t="s">
        <v>237</v>
      </c>
      <c r="C11" s="399">
        <f>'Future Management Practices'!C57</f>
        <v>0</v>
      </c>
      <c r="D11" s="399">
        <f>'Future Management Practices'!C58</f>
        <v>0</v>
      </c>
      <c r="E11" s="399">
        <f>'Future Management Practices'!C59</f>
        <v>0.25</v>
      </c>
      <c r="F11" s="403">
        <v>1</v>
      </c>
      <c r="G11" s="33"/>
    </row>
    <row r="12" spans="2:7" ht="12.75">
      <c r="B12" s="44" t="s">
        <v>238</v>
      </c>
      <c r="C12" s="399">
        <f>'Future Management Practices'!C65</f>
        <v>0.25</v>
      </c>
      <c r="D12" s="399">
        <f>'Future Management Practices'!C66</f>
        <v>1</v>
      </c>
      <c r="E12" s="399">
        <f>'Future Management Practices'!C67</f>
        <v>0</v>
      </c>
      <c r="F12" s="403">
        <v>1</v>
      </c>
      <c r="G12" s="33"/>
    </row>
    <row r="13" spans="2:7" ht="12.75">
      <c r="B13" s="44" t="s">
        <v>127</v>
      </c>
      <c r="C13" s="399" t="e">
        <f>'Future Management Practices'!B83</f>
        <v>#DIV/0!</v>
      </c>
      <c r="D13" s="399">
        <f>'Future Management Practices'!C83</f>
        <v>0</v>
      </c>
      <c r="E13" s="399">
        <f>'Future Management Practices'!D83</f>
        <v>0</v>
      </c>
      <c r="F13" s="403">
        <f>'Future Management Practices'!E83</f>
        <v>0</v>
      </c>
      <c r="G13" s="33"/>
    </row>
    <row r="14" spans="2:7" ht="12.75">
      <c r="B14" s="44" t="s">
        <v>86</v>
      </c>
      <c r="C14" s="399" t="e">
        <f>'Future Management Practices'!C95</f>
        <v>#DIV/0!</v>
      </c>
      <c r="D14" s="399">
        <f>'Future Management Practices'!C96</f>
        <v>0</v>
      </c>
      <c r="E14" s="399">
        <f>'Future Management Practices'!C97</f>
        <v>0</v>
      </c>
      <c r="F14" s="403">
        <v>1</v>
      </c>
      <c r="G14" s="33"/>
    </row>
    <row r="15" spans="2:7" ht="12.75">
      <c r="B15" s="44" t="s">
        <v>139</v>
      </c>
      <c r="C15" s="399" t="e">
        <f>SUM('Future Management Practices'!C102:C103)/'Primary Sources'!D54/'Primary Sources'!E54*100</f>
        <v>#DIV/0!</v>
      </c>
      <c r="D15" s="399">
        <f>('Future Management Practices'!D103/'Future Management Practices'!D102*'Future Management Practices'!C103+'Future Management Practices'!C102)/MAX('Future Management Practices'!C102+'Future Management Practices'!C103,1)</f>
        <v>0</v>
      </c>
      <c r="E15" s="399">
        <f>'Future Management Practices'!C105</f>
        <v>0</v>
      </c>
      <c r="F15" s="403">
        <v>1</v>
      </c>
      <c r="G15" s="33"/>
    </row>
    <row r="16" spans="2:7" ht="12.75">
      <c r="B16" s="44" t="s">
        <v>142</v>
      </c>
      <c r="C16" s="399">
        <f>'Future Management Practices'!C109*'Future Management Practices'!C110/MAX('Secondary Sources'!C85,1)</f>
        <v>0</v>
      </c>
      <c r="D16" s="399">
        <f>'Future Management Practices'!C111</f>
        <v>0.9</v>
      </c>
      <c r="E16" s="399">
        <v>1</v>
      </c>
      <c r="F16" s="403">
        <v>1</v>
      </c>
      <c r="G16" s="33"/>
    </row>
    <row r="17" spans="2:7" s="24" customFormat="1" ht="12.75">
      <c r="B17" s="44" t="s">
        <v>193</v>
      </c>
      <c r="C17" s="399">
        <v>1</v>
      </c>
      <c r="D17" s="399">
        <f>'Future Management Practices'!C116</f>
        <v>0</v>
      </c>
      <c r="E17" s="399">
        <f>'Future Management Practices'!C117</f>
        <v>0.4</v>
      </c>
      <c r="F17" s="277">
        <v>1</v>
      </c>
      <c r="G17" s="504"/>
    </row>
    <row r="18" spans="2:7" s="24" customFormat="1" ht="13.5" customHeight="1">
      <c r="B18" s="44" t="s">
        <v>162</v>
      </c>
      <c r="C18" s="399">
        <v>1</v>
      </c>
      <c r="D18" s="399">
        <f>'Future Management Practices'!C121</f>
        <v>0</v>
      </c>
      <c r="E18" s="399">
        <v>1</v>
      </c>
      <c r="F18" s="403">
        <v>1</v>
      </c>
      <c r="G18" s="504"/>
    </row>
    <row r="19" spans="2:7" s="24" customFormat="1" ht="12.75">
      <c r="B19" s="44" t="s">
        <v>163</v>
      </c>
      <c r="C19" s="399">
        <v>1</v>
      </c>
      <c r="D19" s="399">
        <f>'Future Management Practices'!C148</f>
        <v>0</v>
      </c>
      <c r="E19" s="399">
        <v>1</v>
      </c>
      <c r="F19" s="403">
        <v>1</v>
      </c>
      <c r="G19" s="504"/>
    </row>
    <row r="20" spans="2:7" s="24" customFormat="1" ht="12.75">
      <c r="B20" s="44" t="s">
        <v>178</v>
      </c>
      <c r="C20" s="399" t="e">
        <f>'Future Management Practices'!B171</f>
        <v>#DIV/0!</v>
      </c>
      <c r="D20" s="399">
        <f>'Future Management Practices'!C171</f>
        <v>0</v>
      </c>
      <c r="E20" s="399">
        <f>'Future Management Practices'!D171</f>
        <v>0</v>
      </c>
      <c r="F20" s="403">
        <f>'Future Management Practices'!E171</f>
        <v>0</v>
      </c>
      <c r="G20" s="504"/>
    </row>
    <row r="21" spans="2:7" s="24" customFormat="1" ht="12.75">
      <c r="B21" s="44" t="s">
        <v>164</v>
      </c>
      <c r="C21" s="399">
        <v>1</v>
      </c>
      <c r="D21" s="399">
        <f>'Future Management Practices'!C183</f>
        <v>0</v>
      </c>
      <c r="E21" s="399">
        <f>'Future Management Practices'!C184</f>
        <v>0</v>
      </c>
      <c r="F21" s="403">
        <v>1</v>
      </c>
      <c r="G21" s="504"/>
    </row>
    <row r="22" spans="2:7" s="24" customFormat="1" ht="12.75">
      <c r="B22" s="44" t="s">
        <v>165</v>
      </c>
      <c r="C22" s="399">
        <v>1</v>
      </c>
      <c r="D22" s="399">
        <f>'Future Management Practices'!C189</f>
        <v>0</v>
      </c>
      <c r="E22" s="399">
        <v>1</v>
      </c>
      <c r="F22" s="403">
        <v>1</v>
      </c>
      <c r="G22" s="504"/>
    </row>
    <row r="23" spans="2:7" s="24" customFormat="1" ht="12.75">
      <c r="B23" s="44" t="s">
        <v>166</v>
      </c>
      <c r="C23" s="399">
        <v>1</v>
      </c>
      <c r="D23" s="399">
        <f>'Future Management Practices'!C194</f>
        <v>0</v>
      </c>
      <c r="E23" s="399">
        <v>1</v>
      </c>
      <c r="F23" s="403">
        <v>1</v>
      </c>
      <c r="G23" s="504"/>
    </row>
    <row r="24" spans="2:7" s="24" customFormat="1" ht="12.75">
      <c r="B24" s="44" t="s">
        <v>179</v>
      </c>
      <c r="C24" s="399">
        <v>1</v>
      </c>
      <c r="D24" s="399">
        <f>'Future Management Practices'!C199</f>
        <v>0</v>
      </c>
      <c r="E24" s="399">
        <f>'Future Management Practices'!C200</f>
        <v>0</v>
      </c>
      <c r="F24" s="403">
        <v>1</v>
      </c>
      <c r="G24" s="504"/>
    </row>
    <row r="25" spans="2:7" s="24" customFormat="1" ht="12.75">
      <c r="B25" s="44" t="s">
        <v>180</v>
      </c>
      <c r="C25" s="399">
        <v>1</v>
      </c>
      <c r="D25" s="399">
        <f>'Future Management Practices'!C206</f>
        <v>0</v>
      </c>
      <c r="E25" s="399">
        <f>'Future Management Practices'!C207</f>
        <v>0</v>
      </c>
      <c r="F25" s="403">
        <v>1</v>
      </c>
      <c r="G25" s="504"/>
    </row>
    <row r="26" spans="2:7" s="24" customFormat="1" ht="13.5" customHeight="1">
      <c r="B26" s="44" t="s">
        <v>173</v>
      </c>
      <c r="C26" s="399">
        <v>1</v>
      </c>
      <c r="D26" s="399">
        <f>'Future Management Practices'!C179</f>
        <v>0</v>
      </c>
      <c r="E26" s="399">
        <v>1</v>
      </c>
      <c r="F26" s="403">
        <v>1</v>
      </c>
      <c r="G26" s="504"/>
    </row>
    <row r="27" spans="2:6" s="20" customFormat="1" ht="13.5" thickBot="1">
      <c r="B27" s="47" t="s">
        <v>323</v>
      </c>
      <c r="C27" s="401">
        <v>1</v>
      </c>
      <c r="D27" s="401">
        <v>1</v>
      </c>
      <c r="E27" s="401">
        <v>1</v>
      </c>
      <c r="F27" s="404">
        <v>1</v>
      </c>
    </row>
    <row r="28" ht="13.5" thickTop="1"/>
    <row r="29" ht="13.5" customHeight="1" thickBot="1"/>
    <row r="30" spans="2:9" ht="21.75" thickBot="1" thickTop="1">
      <c r="B30" s="26" t="s">
        <v>201</v>
      </c>
      <c r="C30" s="28"/>
      <c r="D30" s="28"/>
      <c r="E30" s="28"/>
      <c r="F30" s="16"/>
      <c r="G30" s="7"/>
      <c r="H30" s="6"/>
      <c r="I30" s="6"/>
    </row>
    <row r="31" spans="2:6" ht="13.5" thickBot="1">
      <c r="B31" s="27"/>
      <c r="C31" s="11" t="s">
        <v>157</v>
      </c>
      <c r="D31" s="11" t="s">
        <v>156</v>
      </c>
      <c r="E31" s="11" t="s">
        <v>155</v>
      </c>
      <c r="F31" s="12" t="s">
        <v>154</v>
      </c>
    </row>
    <row r="32" spans="2:7" ht="12.75">
      <c r="B32" s="102"/>
      <c r="C32" s="89"/>
      <c r="D32" s="42"/>
      <c r="E32" s="42"/>
      <c r="F32" s="43"/>
      <c r="G32" s="33"/>
    </row>
    <row r="33" spans="2:7" ht="12.75">
      <c r="B33" s="103" t="s">
        <v>104</v>
      </c>
      <c r="C33" s="405">
        <f>'Future Management Practices'!C231*'Discounts - Future'!$C7*'Discounts - Future'!$D7*'Discounts - Future'!$E7*'Discounts - Future'!$F7</f>
        <v>0</v>
      </c>
      <c r="D33" s="311">
        <f>'Future Management Practices'!D231*'Discounts - Future'!$C7*'Discounts - Future'!$D7*'Discounts - Future'!$E7*'Discounts - Future'!$F7</f>
        <v>0</v>
      </c>
      <c r="E33" s="311">
        <f>'Future Management Practices'!E231*'Discounts - Future'!$C7*'Discounts - Future'!$D7*'Discounts - Future'!$E7*'Discounts - Future'!$F7</f>
        <v>0</v>
      </c>
      <c r="F33" s="308">
        <f>'Future Management Practices'!F231*'Discounts - Future'!$C7*'Discounts - Future'!$D7*'Discounts - Future'!$E7*'Discounts - Future'!$F7</f>
        <v>0</v>
      </c>
      <c r="G33" s="33"/>
    </row>
    <row r="34" spans="2:7" ht="12.75">
      <c r="B34" s="103" t="s">
        <v>105</v>
      </c>
      <c r="C34" s="405">
        <f>'Future Management Practices'!C232*'Discounts - Future'!$C8*'Discounts - Future'!$D8*'Discounts - Future'!$E8*'Discounts - Future'!$F8</f>
        <v>0</v>
      </c>
      <c r="D34" s="311">
        <f>'Future Management Practices'!D232*'Discounts - Future'!$C8*'Discounts - Future'!$D8*'Discounts - Future'!$E8*'Discounts - Future'!$F8</f>
        <v>0</v>
      </c>
      <c r="E34" s="311">
        <f>'Future Management Practices'!E232*'Discounts - Future'!$C8*'Discounts - Future'!$D8*'Discounts - Future'!$E8*'Discounts - Future'!$F8</f>
        <v>0</v>
      </c>
      <c r="F34" s="308">
        <f>'Future Management Practices'!F232*'Discounts - Future'!$C8*'Discounts - Future'!$D8*'Discounts - Future'!$E8*'Discounts - Future'!$F8</f>
        <v>0</v>
      </c>
      <c r="G34" s="33"/>
    </row>
    <row r="35" spans="2:8" s="25" customFormat="1" ht="12.75">
      <c r="B35" s="103" t="s">
        <v>114</v>
      </c>
      <c r="C35" s="405">
        <f>'Future Management Practices'!C233*'Discounts - Future'!$C9*'Discounts - Future'!$D9*'Discounts - Future'!$E9*'Discounts - Future'!$F9</f>
        <v>0</v>
      </c>
      <c r="D35" s="311">
        <f>'Future Management Practices'!D233*'Discounts - Future'!$C9*'Discounts - Future'!$D9*'Discounts - Future'!$E9*'Discounts - Future'!$F9</f>
        <v>0</v>
      </c>
      <c r="E35" s="311">
        <f>'Future Management Practices'!E233*'Discounts - Future'!$C9*'Discounts - Future'!$D9*'Discounts - Future'!$E9*'Discounts - Future'!$F9</f>
        <v>0</v>
      </c>
      <c r="F35" s="308">
        <f>'Future Management Practices'!F233*'Discounts - Future'!$C9*'Discounts - Future'!$D9*'Discounts - Future'!$E9*'Discounts - Future'!$F9</f>
        <v>0</v>
      </c>
      <c r="G35" s="7"/>
      <c r="H35" s="30"/>
    </row>
    <row r="36" spans="2:7" ht="12.75">
      <c r="B36" s="103" t="s">
        <v>84</v>
      </c>
      <c r="C36" s="405">
        <f>'Future Management Practices'!C234*'Discounts - Future'!$C10*'Discounts - Future'!$D10*'Discounts - Future'!$E10*'Discounts - Future'!$F10</f>
        <v>0</v>
      </c>
      <c r="D36" s="405">
        <f>'Future Management Practices'!D234*'Discounts - Future'!$C10*'Discounts - Future'!$D10*'Discounts - Future'!$E10*'Discounts - Future'!$F10</f>
        <v>0</v>
      </c>
      <c r="E36" s="405">
        <f>'Future Management Practices'!E234*'Discounts - Future'!$C10*'Discounts - Future'!$D10*'Discounts - Future'!$E10*'Discounts - Future'!$F10</f>
        <v>0</v>
      </c>
      <c r="F36" s="853">
        <f>'Future Management Practices'!F234*'Discounts - Future'!$C10*'Discounts - Future'!$D10*'Discounts - Future'!$E10*'Discounts - Future'!$F10</f>
        <v>0</v>
      </c>
      <c r="G36" s="33"/>
    </row>
    <row r="37" spans="2:7" ht="12.75">
      <c r="B37" s="103" t="s">
        <v>220</v>
      </c>
      <c r="C37" s="405"/>
      <c r="D37" s="311"/>
      <c r="E37" s="311" t="e">
        <f>'Future Management Practices'!E235*'Discounts - Future'!C10*'Discounts - Future'!E10</f>
        <v>#DIV/0!</v>
      </c>
      <c r="F37" s="308"/>
      <c r="G37" s="33"/>
    </row>
    <row r="38" spans="2:7" ht="12.75">
      <c r="B38" s="103" t="s">
        <v>85</v>
      </c>
      <c r="C38" s="405" t="e">
        <f>'Future Management Practices'!C236*'Discounts - Future'!$C11*'Discounts - Future'!$D11*'Discounts - Future'!$E11*'Discounts - Future'!$F11+'Future Management Practices'!C237*'Discounts - Future'!$C12*'Discounts - Future'!$D12*'Discounts - Future'!$E12*'Discounts - Future'!$F12+'Discounts - Existing'!C25</f>
        <v>#DIV/0!</v>
      </c>
      <c r="D38" s="311" t="e">
        <f>'Future Management Practices'!D236*'Discounts - Future'!$C11*'Discounts - Future'!$D11*'Discounts - Future'!$E11*'Discounts - Future'!$F11+'Future Management Practices'!D237*'Discounts - Future'!$C12*'Discounts - Future'!$D12*'Discounts - Future'!$E12*'Discounts - Future'!$F12+'Discounts - Existing'!D25</f>
        <v>#DIV/0!</v>
      </c>
      <c r="E38" s="311" t="e">
        <f>'Future Management Practices'!E236*'Discounts - Future'!$C11*'Discounts - Future'!$D11*'Discounts - Future'!$E11*'Discounts - Future'!$F11+'Future Management Practices'!E237*'Discounts - Future'!$C12*'Discounts - Future'!$D12*'Discounts - Future'!$E12*'Discounts - Future'!$F12+'Discounts - Existing'!E25</f>
        <v>#DIV/0!</v>
      </c>
      <c r="F38" s="308" t="e">
        <f>'Future Management Practices'!F236*'Discounts - Future'!$C11*'Discounts - Future'!$D11*'Discounts - Future'!$E11*'Discounts - Future'!$F11+'Future Management Practices'!F237*'Discounts - Future'!$C12*'Discounts - Future'!$D12*'Discounts - Future'!$E12*'Discounts - Future'!$F12+'Discounts - Existing'!F25</f>
        <v>#DIV/0!</v>
      </c>
      <c r="G38" s="33"/>
    </row>
    <row r="39" spans="2:7" ht="12.75">
      <c r="B39" s="103" t="s">
        <v>127</v>
      </c>
      <c r="C39" s="405" t="e">
        <f>'Future Management Practices'!C238*(1-(C$33*'Future Management Practices'!E$16+C$34+SUM('Discounts - Future'!C$36:C$38)+C$44+C$45)/(SUM('Primary Sources'!N$11:N$35)+'Secondary Sources'!C124))*'Discounts - Future'!$C13*'Discounts - Future'!$D13*'Discounts - Future'!$E13*'Discounts - Future'!$F13</f>
        <v>#DIV/0!</v>
      </c>
      <c r="D39" s="405" t="e">
        <f>'Future Management Practices'!D238*(1-(D$33*'Future Management Practices'!F$16+D$34+SUM('Discounts - Future'!D$36:D$38)+D$44+D$45)/(SUM('Primary Sources'!O$11:O$35)+'Secondary Sources'!D124))*'Discounts - Future'!$C13*'Discounts - Future'!$D13*'Discounts - Future'!$E13*'Discounts - Future'!$F13</f>
        <v>#DIV/0!</v>
      </c>
      <c r="E39" s="311" t="e">
        <f>'Future Management Practices'!E238*(1-(E$33*'Future Management Practices'!G$16+E$34+SUM('Discounts - Future'!E$36:E$38)+E$44+E$45)/SUM('Primary Sources'!P$11:P$35))*'Discounts - Future'!$C13*'Discounts - Future'!$D13*'Discounts - Future'!$E13*'Discounts - Future'!$F13</f>
        <v>#DIV/0!</v>
      </c>
      <c r="F39" s="308" t="e">
        <f>'Future Management Practices'!F238*(1-(F$33*'Future Management Practices'!H$16+F$34+SUM('Discounts - Future'!F$36:F$38)+F$44+F$45)/SUM('Primary Sources'!Q$11:Q$35))*'Discounts - Future'!$C13*'Discounts - Future'!$D13*'Discounts - Future'!$E13*'Discounts - Future'!$F13</f>
        <v>#DIV/0!</v>
      </c>
      <c r="G39" s="33"/>
    </row>
    <row r="40" spans="2:7" ht="12.75">
      <c r="B40" s="103" t="s">
        <v>86</v>
      </c>
      <c r="C40" s="405" t="e">
        <f>'Future Management Practices'!C239*(1-(C$33*'Future Management Practices'!E$16+C$34+SUM('Discounts - Future'!C$36:C$38)+C$44+C$45)/(SUM('Primary Sources'!N$11:N$35)+'Secondary Sources'!C125))*'Discounts - Future'!$C14*'Discounts - Future'!$D14*'Discounts - Future'!$E14*'Discounts - Future'!$F14</f>
        <v>#DIV/0!</v>
      </c>
      <c r="D40" s="405" t="e">
        <f>'Future Management Practices'!D239*(1-(D$33*'Future Management Practices'!F$16+D$34+SUM('Discounts - Future'!D$36:D$38)+D$44+D$45)/(SUM('Primary Sources'!O$11:O$35)+'Secondary Sources'!D125))*'Discounts - Future'!$C14*'Discounts - Future'!$D14*'Discounts - Future'!$E14*'Discounts - Future'!$F14</f>
        <v>#DIV/0!</v>
      </c>
      <c r="E40" s="405" t="e">
        <f>'Future Management Practices'!E239*(1-(E$33*'Future Management Practices'!G$16+E$34+SUM('Discounts - Future'!E$36:E$38)+E$44+E$45)/(SUM('Primary Sources'!P$11:P$35)+'Secondary Sources'!E125))*'Discounts - Future'!$C14*'Discounts - Future'!$D14*'Discounts - Future'!$E14*'Discounts - Future'!$F14</f>
        <v>#DIV/0!</v>
      </c>
      <c r="F40" s="405" t="e">
        <f>'Future Management Practices'!F239*(1-(F$33*'Future Management Practices'!H$16+F$34+SUM('Discounts - Future'!F$36:F$38)+F$44+F$45)/(SUM('Primary Sources'!Q$11:Q$35)+'Secondary Sources'!F125))*'Discounts - Future'!$C14*'Discounts - Future'!$D14*'Discounts - Future'!$E14*'Discounts - Future'!$F14</f>
        <v>#DIV/0!</v>
      </c>
      <c r="G40" s="33"/>
    </row>
    <row r="41" spans="2:7" ht="12.75">
      <c r="B41" s="103" t="s">
        <v>139</v>
      </c>
      <c r="C41" s="405" t="e">
        <f>'Future Management Practices'!C240*(1-(C$33*'Future Management Practices'!E$16+C$34+SUM('Discounts - Future'!C$36:C$38)+C$44+C$45)/(SUM('Primary Sources'!N$11:N$35)+'Secondary Sources'!C126))*'Discounts - Future'!$C15*'Discounts - Future'!$D15*'Discounts - Future'!$E15*'Discounts - Future'!$F15</f>
        <v>#DIV/0!</v>
      </c>
      <c r="D41" s="405" t="e">
        <f>'Future Management Practices'!D240*(1-(D$33*'Future Management Practices'!F$16+D$34+SUM('Discounts - Future'!D$36:D$38)+D$44+D$45)/(SUM('Primary Sources'!O$11:O$35)+'Secondary Sources'!D126))*'Discounts - Future'!$C15*'Discounts - Future'!$D15*'Discounts - Future'!$E15*'Discounts - Future'!$F15</f>
        <v>#DIV/0!</v>
      </c>
      <c r="E41" s="405" t="e">
        <f>'Future Management Practices'!E240*(1-(E$33*'Future Management Practices'!G$16+E$34+SUM('Discounts - Future'!E$36:E$38)+E$44+E$45)/(SUM('Primary Sources'!P$11:P$35)+'Secondary Sources'!E126))*'Discounts - Future'!$C15*'Discounts - Future'!$D15*'Discounts - Future'!$E15*'Discounts - Future'!$F15</f>
        <v>#DIV/0!</v>
      </c>
      <c r="F41" s="405" t="e">
        <f>'Future Management Practices'!F240*(1-(F$33*'Future Management Practices'!H$16+F$34+SUM('Discounts - Future'!F$36:F$38)+F$44+F$45)/(SUM('Primary Sources'!Q$11:Q$35)+'Secondary Sources'!F126))*'Discounts - Future'!$C15*'Discounts - Future'!$D15*'Discounts - Future'!$E15*'Discounts - Future'!$F15</f>
        <v>#DIV/0!</v>
      </c>
      <c r="G41" s="33"/>
    </row>
    <row r="42" spans="2:7" ht="12.75">
      <c r="B42" s="103" t="s">
        <v>142</v>
      </c>
      <c r="C42" s="405">
        <f>'Future Management Practices'!C241*'Discounts - Future'!$C16*'Discounts - Future'!$D16*'Discounts - Future'!$E16*'Discounts - Future'!$F16</f>
        <v>0</v>
      </c>
      <c r="D42" s="311">
        <f>'Future Management Practices'!D241*'Discounts - Future'!$C16*'Discounts - Future'!$D16*'Discounts - Future'!$E16*'Discounts - Future'!$F16</f>
        <v>0</v>
      </c>
      <c r="E42" s="311">
        <f>'Future Management Practices'!E241*'Discounts - Future'!$C16*'Discounts - Future'!$D16*'Discounts - Future'!$E16*'Discounts - Future'!$F16</f>
        <v>0</v>
      </c>
      <c r="F42" s="308">
        <f>'Future Management Practices'!F241*'Discounts - Future'!$C16*'Discounts - Future'!$D16*'Discounts - Future'!$E16*'Discounts - Future'!$F16</f>
        <v>0</v>
      </c>
      <c r="G42" s="33"/>
    </row>
    <row r="43" spans="2:7" s="25" customFormat="1" ht="12.75">
      <c r="B43" s="103" t="s">
        <v>170</v>
      </c>
      <c r="C43" s="405">
        <f>'Future Management Practices'!C242*'Discounts - Future'!$C17*'Discounts - Future'!$D17*'Discounts - Future'!$E17*'Discounts - Future'!$F17</f>
        <v>0</v>
      </c>
      <c r="D43" s="311">
        <f>'Future Management Practices'!D242*'Discounts - Future'!$C17*'Discounts - Future'!$D17*'Discounts - Future'!$E17*'Discounts - Future'!$F17</f>
        <v>0</v>
      </c>
      <c r="E43" s="311">
        <f>'Future Management Practices'!E242*'Discounts - Future'!$C17*'Discounts - Future'!$D17*'Discounts - Future'!$E17*'Discounts - Future'!$F17</f>
        <v>0</v>
      </c>
      <c r="F43" s="308">
        <f>'Future Management Practices'!F242*'Discounts - Future'!$C17*'Discounts - Future'!$D17*'Discounts - Future'!$E17*'Discounts - Future'!$F17</f>
        <v>0</v>
      </c>
      <c r="G43" s="504"/>
    </row>
    <row r="44" spans="2:7" s="25" customFormat="1" ht="13.5" customHeight="1">
      <c r="B44" s="103" t="s">
        <v>162</v>
      </c>
      <c r="C44" s="406">
        <f>'Future Management Practices'!C243*'Discounts - Future'!$C18*'Discounts - Future'!$D18*'Discounts - Future'!$E18*'Discounts - Future'!$F18</f>
        <v>0</v>
      </c>
      <c r="D44" s="313">
        <f>'Future Management Practices'!D243*'Discounts - Future'!$C18*'Discounts - Future'!$D18*'Discounts - Future'!$E18*'Discounts - Future'!$F18</f>
        <v>0</v>
      </c>
      <c r="E44" s="313">
        <f>'Future Management Practices'!E243*'Discounts - Future'!$C18*'Discounts - Future'!$D18*'Discounts - Future'!$E18*'Discounts - Future'!$F18</f>
        <v>0</v>
      </c>
      <c r="F44" s="407">
        <f>'Future Management Practices'!F243*'Discounts - Future'!$C18*'Discounts - Future'!$D18*'Discounts - Future'!$E18*'Discounts - Future'!$F18</f>
        <v>0</v>
      </c>
      <c r="G44" s="504"/>
    </row>
    <row r="45" spans="2:7" s="25" customFormat="1" ht="12.75">
      <c r="B45" s="103" t="s">
        <v>163</v>
      </c>
      <c r="C45" s="406" t="e">
        <f>'Future Management Practices'!C244*'Discounts - Future'!$C19*'Discounts - Future'!$D19*'Discounts - Future'!$E19*'Discounts - Future'!$F19</f>
        <v>#DIV/0!</v>
      </c>
      <c r="D45" s="313" t="e">
        <f>'Future Management Practices'!D244*'Discounts - Future'!$C19*'Discounts - Future'!$D19*'Discounts - Future'!$E19*'Discounts - Future'!$F19</f>
        <v>#DIV/0!</v>
      </c>
      <c r="E45" s="313" t="e">
        <f>'Future Management Practices'!E244*'Discounts - Future'!$C19*'Discounts - Future'!$D19*'Discounts - Future'!$E19*'Discounts - Future'!$F19</f>
        <v>#DIV/0!</v>
      </c>
      <c r="F45" s="407" t="e">
        <f>'Future Management Practices'!F244*'Discounts - Future'!$C19*'Discounts - Future'!$D19*'Discounts - Future'!$E19*'Discounts - Future'!$F19</f>
        <v>#DIV/0!</v>
      </c>
      <c r="G45" s="504"/>
    </row>
    <row r="46" spans="2:7" s="25" customFormat="1" ht="12.75">
      <c r="B46" s="103" t="s">
        <v>178</v>
      </c>
      <c r="C46" s="405" t="e">
        <f>'Future Management Practices'!C245*(1-(C$33*'Future Management Practices'!E$16+C$34+SUM('Discounts - Future'!C$36:C$38)+C$44+C$45)/SUM('Primary Sources'!N$11:N$35))*'Discounts - Future'!$C20*'Discounts - Future'!$D20*'Discounts - Future'!$E20*'Discounts - Future'!$F20</f>
        <v>#DIV/0!</v>
      </c>
      <c r="D46" s="405" t="e">
        <f>'Future Management Practices'!D245*(1-(D$33*'Future Management Practices'!F$16+D$34+SUM('Discounts - Future'!D$36:D$38)+D$44+D$45)/SUM('Primary Sources'!O$11:O$35))*'Discounts - Future'!$C20*'Discounts - Future'!$D20*'Discounts - Future'!$E20*'Discounts - Future'!$F20</f>
        <v>#DIV/0!</v>
      </c>
      <c r="E46" s="405" t="e">
        <f>'Future Management Practices'!E245*(1-(E$33*'Future Management Practices'!G$16+E$34+SUM('Discounts - Future'!E$36:E$38)+E$44+E$45)/SUM('Primary Sources'!P$11:P$35))*'Discounts - Future'!$C20*'Discounts - Future'!$D20*'Discounts - Future'!$E20*'Discounts - Future'!$F20</f>
        <v>#DIV/0!</v>
      </c>
      <c r="F46" s="853" t="e">
        <f>'Future Management Practices'!F245*(1-(F$33*'Future Management Practices'!H$16+F$34+SUM('Discounts - Future'!F$36:F$38)+F$44+F$45)/SUM('Primary Sources'!Q$11:Q$35))*'Discounts - Future'!$C20*'Discounts - Future'!$D20*'Discounts - Future'!$E20*'Discounts - Future'!$F20</f>
        <v>#DIV/0!</v>
      </c>
      <c r="G46" s="504"/>
    </row>
    <row r="47" spans="2:6" s="25" customFormat="1" ht="12.75">
      <c r="B47" s="103" t="s">
        <v>164</v>
      </c>
      <c r="C47" s="406">
        <f>'Future Management Practices'!C246*'Discounts - Future'!$C21*'Discounts - Future'!$D21*'Discounts - Future'!$E21*'Discounts - Future'!$F21</f>
        <v>0</v>
      </c>
      <c r="D47" s="313">
        <f>'Future Management Practices'!D246*'Discounts - Future'!$C21*'Discounts - Future'!$D21*'Discounts - Future'!$E21*'Discounts - Future'!$F21</f>
        <v>0</v>
      </c>
      <c r="E47" s="313">
        <f>'Future Management Practices'!E246*'Discounts - Future'!$C21*'Discounts - Future'!$D21*'Discounts - Future'!$E21*'Discounts - Future'!$F21</f>
        <v>0</v>
      </c>
      <c r="F47" s="407">
        <f>'Future Management Practices'!F246*'Discounts - Future'!$C21*'Discounts - Future'!$D21*'Discounts - Future'!$E21*'Discounts - Future'!$F21</f>
        <v>0</v>
      </c>
    </row>
    <row r="48" spans="2:6" s="25" customFormat="1" ht="12.75">
      <c r="B48" s="103" t="s">
        <v>165</v>
      </c>
      <c r="C48" s="406">
        <f>'Future Management Practices'!C247*'Discounts - Future'!$C22*'Discounts - Future'!$D22*'Discounts - Future'!$E22*'Discounts - Future'!$F22</f>
        <v>0</v>
      </c>
      <c r="D48" s="313">
        <f>'Future Management Practices'!D247*'Discounts - Future'!$C22*'Discounts - Future'!$D22*'Discounts - Future'!$E22*'Discounts - Future'!$F22</f>
        <v>0</v>
      </c>
      <c r="E48" s="313">
        <f>'Future Management Practices'!E247*'Discounts - Future'!$C22*'Discounts - Future'!$D22*'Discounts - Future'!$E22*'Discounts - Future'!$F22</f>
        <v>0</v>
      </c>
      <c r="F48" s="407">
        <f>'Future Management Practices'!F247*'Discounts - Future'!$C22*'Discounts - Future'!$D22*'Discounts - Future'!$E22*'Discounts - Future'!$F22</f>
        <v>0</v>
      </c>
    </row>
    <row r="49" spans="2:6" s="25" customFormat="1" ht="12.75">
      <c r="B49" s="103" t="s">
        <v>166</v>
      </c>
      <c r="C49" s="406">
        <f>'Future Management Practices'!C248*'Discounts - Future'!$C23*'Discounts - Future'!$D23*'Discounts - Future'!$E23*'Discounts - Future'!$F23</f>
        <v>0</v>
      </c>
      <c r="D49" s="313">
        <f>'Future Management Practices'!D248*'Discounts - Future'!$C23*'Discounts - Future'!$D23*'Discounts - Future'!$E23*'Discounts - Future'!$F23</f>
        <v>0</v>
      </c>
      <c r="E49" s="313">
        <f>'Future Management Practices'!E248*'Discounts - Future'!$C23*'Discounts - Future'!$D23*'Discounts - Future'!$E23*'Discounts - Future'!$F23</f>
        <v>0</v>
      </c>
      <c r="F49" s="407">
        <f>'Future Management Practices'!F248*'Discounts - Future'!$C23*'Discounts - Future'!$D23*'Discounts - Future'!$E23*'Discounts - Future'!$F23</f>
        <v>0</v>
      </c>
    </row>
    <row r="50" spans="2:6" s="25" customFormat="1" ht="12.75">
      <c r="B50" s="103" t="s">
        <v>179</v>
      </c>
      <c r="C50" s="406">
        <f>MAX(MIN('Future Management Practices'!C249*'Discounts - Future'!$C24*'Discounts - Future'!$D24*'Discounts - Future'!$E24*'Discounts - Future'!$F24,('Future Management Practices'!C249*0.9-'Discounts - Future'!C43)),0)</f>
        <v>0</v>
      </c>
      <c r="D50" s="313">
        <f>MAX(MIN('Future Management Practices'!D249*'Discounts - Future'!$C24*'Discounts - Future'!$D24*'Discounts - Future'!$E24*'Discounts - Future'!$F24,('Future Management Practices'!D249*0.9-'Discounts - Future'!D43)),0)</f>
        <v>0</v>
      </c>
      <c r="E50" s="313">
        <f>MAX(MIN('Future Management Practices'!E249*'Discounts - Future'!$C24*'Discounts - Future'!$D24*'Discounts - Future'!$E24*'Discounts - Future'!$F24,('Future Management Practices'!E249*0.9-'Discounts - Future'!E43)),0)</f>
        <v>0</v>
      </c>
      <c r="F50" s="407">
        <f>MAX(MIN('Future Management Practices'!F249*'Discounts - Future'!$C24*'Discounts - Future'!$D24*'Discounts - Future'!$E24*'Discounts - Future'!$F24,('Future Management Practices'!F249*0.9-'Discounts - Future'!F43)),0)</f>
        <v>0</v>
      </c>
    </row>
    <row r="51" spans="2:6" s="25" customFormat="1" ht="12.75">
      <c r="B51" s="103" t="s">
        <v>180</v>
      </c>
      <c r="C51" s="406">
        <f>MAX(MIN('Future Management Practices'!C250*'Discounts - Future'!$C25*'Discounts - Future'!$D25*'Discounts - Future'!$E25*'Discounts - Future'!$F25,('Future Management Practices'!C250*0.9-'Discounts - Future'!C43-C50)),0)</f>
        <v>0</v>
      </c>
      <c r="D51" s="313">
        <f>MAX(MIN('Future Management Practices'!D250*'Discounts - Future'!$C25*'Discounts - Future'!$D25*'Discounts - Future'!$E25*'Discounts - Future'!$F25,('Future Management Practices'!D250*0.9-'Discounts - Future'!D43-D50)),0)</f>
        <v>0</v>
      </c>
      <c r="E51" s="313">
        <f>MAX(MIN('Future Management Practices'!E250*'Discounts - Future'!$C25*'Discounts - Future'!$D25*'Discounts - Future'!$E25*'Discounts - Future'!$F25,('Future Management Practices'!E250*0.9-'Discounts - Future'!E43-E50)),0)</f>
        <v>0</v>
      </c>
      <c r="F51" s="407">
        <f>MAX(MIN('Future Management Practices'!F250*'Discounts - Future'!$C25*'Discounts - Future'!$D25*'Discounts - Future'!$E25*'Discounts - Future'!$F25,('Future Management Practices'!F250*0.9-'Discounts - Future'!F43-F50)),0)</f>
        <v>0</v>
      </c>
    </row>
    <row r="52" spans="2:6" s="25" customFormat="1" ht="13.5" customHeight="1">
      <c r="B52" s="103" t="s">
        <v>173</v>
      </c>
      <c r="C52" s="406" t="e">
        <f>'Future Management Practices'!C251*'Discounts - Future'!$C26*'Discounts - Future'!$D26*'Discounts - Future'!$E26*'Discounts - Future'!$F26</f>
        <v>#DIV/0!</v>
      </c>
      <c r="D52" s="313" t="e">
        <f>'Future Management Practices'!D251*'Discounts - Future'!$C26*'Discounts - Future'!$D26*'Discounts - Future'!$E26*'Discounts - Future'!$F26</f>
        <v>#DIV/0!</v>
      </c>
      <c r="E52" s="313" t="e">
        <f>'Future Management Practices'!E251*'Discounts - Future'!$C26*'Discounts - Future'!$D26*'Discounts - Future'!$E26*'Discounts - Future'!$F26</f>
        <v>#DIV/0!</v>
      </c>
      <c r="F52" s="407">
        <f>'Future Management Practices'!F251*'Discounts - Future'!$C26*'Discounts - Future'!$D26*'Discounts - Future'!$E26*'Discounts - Future'!$F26</f>
        <v>0</v>
      </c>
    </row>
    <row r="53" spans="2:6" s="25" customFormat="1" ht="13.5" customHeight="1" thickBot="1">
      <c r="B53" s="747" t="str">
        <f>'Future Management Practices'!B278</f>
        <v>Point Source Reduction</v>
      </c>
      <c r="C53" s="408">
        <f>'Future Management Practices'!C252*'Discounts - Future'!$C27*'Discounts - Future'!$D27*'Discounts - Future'!$E27*'Discounts - Future'!$F27</f>
        <v>0</v>
      </c>
      <c r="D53" s="409">
        <f>'Future Management Practices'!D252*'Discounts - Future'!$C27*'Discounts - Future'!$D27*'Discounts - Future'!$E27*'Discounts - Future'!$F27</f>
        <v>0</v>
      </c>
      <c r="E53" s="409">
        <f>'Future Management Practices'!E252*'Discounts - Future'!$C27*'Discounts - Future'!$D27*'Discounts - Future'!$E27*'Discounts - Future'!$F27</f>
        <v>0</v>
      </c>
      <c r="F53" s="410">
        <f>'Future Management Practices'!F252*'Discounts - Future'!$C27*'Discounts - Future'!$D27*'Discounts - Future'!$E27*'Discounts - Future'!$F27</f>
        <v>0</v>
      </c>
    </row>
    <row r="54" spans="2:6" ht="14.25" thickBot="1" thickTop="1">
      <c r="B54" s="17" t="s">
        <v>160</v>
      </c>
      <c r="C54" s="411" t="e">
        <f>SUM(C33:C53)</f>
        <v>#DIV/0!</v>
      </c>
      <c r="D54" s="412" t="e">
        <f>SUM(D33:D53)</f>
        <v>#DIV/0!</v>
      </c>
      <c r="E54" s="412" t="e">
        <f>SUM(E33:E53)</f>
        <v>#DIV/0!</v>
      </c>
      <c r="F54" s="413" t="e">
        <f>SUM(F33:F53)</f>
        <v>#DIV/0!</v>
      </c>
    </row>
    <row r="55" ht="13.5" thickTop="1"/>
    <row r="56" spans="3:5" ht="12.75">
      <c r="C56" s="396"/>
      <c r="D56" s="396"/>
      <c r="E56" s="396"/>
    </row>
    <row r="57" spans="3:5" ht="12.75">
      <c r="C57" s="396"/>
      <c r="D57" s="396"/>
      <c r="E57" s="396"/>
    </row>
    <row r="58" spans="3:6" ht="12.75">
      <c r="C58" s="396"/>
      <c r="D58" s="396"/>
      <c r="E58" s="396"/>
      <c r="F58" s="400"/>
    </row>
    <row r="59" spans="3:6" ht="12.75">
      <c r="C59" s="396"/>
      <c r="D59" s="396"/>
      <c r="E59" s="396"/>
      <c r="F59" s="400"/>
    </row>
    <row r="60" spans="3:6" ht="12.75">
      <c r="C60" s="396"/>
      <c r="D60" s="396"/>
      <c r="E60" s="396"/>
      <c r="F60" s="400"/>
    </row>
    <row r="61" spans="3:6" ht="12.75">
      <c r="C61" s="396"/>
      <c r="D61" s="396"/>
      <c r="E61" s="396"/>
      <c r="F61" s="396"/>
    </row>
    <row r="62" spans="3:6" ht="12.75">
      <c r="C62" s="396"/>
      <c r="D62" s="396"/>
      <c r="E62" s="396"/>
      <c r="F62" s="396"/>
    </row>
    <row r="63" spans="3:6" ht="12.75">
      <c r="C63" s="396"/>
      <c r="D63" s="396"/>
      <c r="E63" s="396"/>
      <c r="F63" s="396"/>
    </row>
    <row r="64" spans="3:6" ht="12.75">
      <c r="C64" s="396"/>
      <c r="D64" s="396"/>
      <c r="E64" s="396"/>
      <c r="F64" s="396"/>
    </row>
    <row r="65" spans="3:6" ht="12.75">
      <c r="C65" s="396"/>
      <c r="D65" s="396"/>
      <c r="E65" s="396"/>
      <c r="F65" s="396"/>
    </row>
    <row r="66" spans="3:6" ht="12.75">
      <c r="C66" s="396"/>
      <c r="D66" s="396"/>
      <c r="E66" s="396"/>
      <c r="F66" s="396"/>
    </row>
    <row r="67" spans="3:6" ht="12.75">
      <c r="C67" s="396"/>
      <c r="D67" s="396"/>
      <c r="E67" s="396"/>
      <c r="F67" s="396"/>
    </row>
    <row r="68" spans="3:6" ht="12.75">
      <c r="C68" s="396"/>
      <c r="D68" s="396"/>
      <c r="E68" s="396"/>
      <c r="F68" s="396"/>
    </row>
    <row r="69" spans="3:6" ht="12.75">
      <c r="C69" s="396"/>
      <c r="D69" s="396"/>
      <c r="E69" s="396"/>
      <c r="F69" s="396"/>
    </row>
    <row r="70" spans="3:6" ht="12.75">
      <c r="C70" s="396"/>
      <c r="D70" s="396"/>
      <c r="E70" s="396"/>
      <c r="F70" s="396"/>
    </row>
    <row r="71" spans="3:6" ht="12.75">
      <c r="C71" s="396"/>
      <c r="D71" s="396"/>
      <c r="E71" s="396"/>
      <c r="F71" s="396"/>
    </row>
    <row r="72" spans="3:6" ht="12.75">
      <c r="C72" s="396"/>
      <c r="D72" s="396"/>
      <c r="E72" s="396"/>
      <c r="F72" s="396"/>
    </row>
    <row r="73" spans="3:6" ht="12.75">
      <c r="C73" s="396"/>
      <c r="D73" s="396"/>
      <c r="E73" s="396"/>
      <c r="F73" s="396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3:AM65"/>
  <sheetViews>
    <sheetView workbookViewId="0" topLeftCell="A15">
      <selection activeCell="B33" sqref="B33"/>
    </sheetView>
  </sheetViews>
  <sheetFormatPr defaultColWidth="9.140625" defaultRowHeight="12.75"/>
  <cols>
    <col min="1" max="2" width="31.28125" style="790" customWidth="1"/>
    <col min="3" max="3" width="17.00390625" style="790" customWidth="1"/>
    <col min="4" max="4" width="17.421875" style="981" customWidth="1"/>
    <col min="5" max="5" width="9.421875" style="790" bestFit="1" customWidth="1"/>
    <col min="6" max="7" width="17.421875" style="790" customWidth="1"/>
    <col min="8" max="16384" width="31.28125" style="790" customWidth="1"/>
  </cols>
  <sheetData>
    <row r="3" ht="15" thickBot="1">
      <c r="E3" s="791"/>
    </row>
    <row r="4" spans="2:7" ht="15.75" thickTop="1">
      <c r="B4" s="792"/>
      <c r="C4" s="793"/>
      <c r="D4" s="982" t="s">
        <v>393</v>
      </c>
      <c r="E4" s="795"/>
      <c r="F4" s="912"/>
      <c r="G4" s="913"/>
    </row>
    <row r="5" spans="2:7" ht="15">
      <c r="B5" s="797"/>
      <c r="C5" s="798" t="s">
        <v>25</v>
      </c>
      <c r="D5" s="983" t="s">
        <v>4</v>
      </c>
      <c r="E5" s="799" t="s">
        <v>5</v>
      </c>
      <c r="F5" s="799" t="s">
        <v>6</v>
      </c>
      <c r="G5" s="800" t="s">
        <v>338</v>
      </c>
    </row>
    <row r="6" spans="2:7" ht="15.75" thickBot="1">
      <c r="B6" s="801"/>
      <c r="C6" s="802" t="s">
        <v>198</v>
      </c>
      <c r="D6" s="984" t="s">
        <v>88</v>
      </c>
      <c r="E6" s="803" t="s">
        <v>88</v>
      </c>
      <c r="F6" s="803" t="s">
        <v>88</v>
      </c>
      <c r="G6" s="804" t="s">
        <v>339</v>
      </c>
    </row>
    <row r="7" spans="2:7" ht="15">
      <c r="B7" s="805"/>
      <c r="C7" s="806"/>
      <c r="D7" s="985"/>
      <c r="E7" s="807"/>
      <c r="F7" s="807"/>
      <c r="G7" s="808"/>
    </row>
    <row r="8" spans="2:7" ht="15">
      <c r="B8" s="809" t="s">
        <v>329</v>
      </c>
      <c r="C8" s="810"/>
      <c r="D8" s="986"/>
      <c r="E8" s="849"/>
      <c r="F8" s="849"/>
      <c r="G8" s="850"/>
    </row>
    <row r="9" spans="2:7" ht="15">
      <c r="B9" s="809"/>
      <c r="C9" s="810"/>
      <c r="D9" s="986"/>
      <c r="E9" s="849"/>
      <c r="F9" s="849"/>
      <c r="G9" s="850"/>
    </row>
    <row r="10" spans="2:7" ht="15">
      <c r="B10" s="813" t="s">
        <v>330</v>
      </c>
      <c r="C10" s="814">
        <f>SUM('Primary Sources'!D11:D35)</f>
        <v>0</v>
      </c>
      <c r="D10" s="987" t="e">
        <f>MAX(SUM('Primary Sources'!N11:N35)-'Existing Management Practices'!C129-'Existing Management Practices'!C130-'Existing Management Practices'!C132-'Existing Management Practices'!C133-'Existing Management Practices'!C134-'Existing Management Practices'!C135-'Existing Management Practices'!C136-'Existing Management Practices'!C137+'Secondary Sources'!C119,SUM('Primary Sources'!$D$11:$D$35)*'Primary Sources'!J36)</f>
        <v>#DIV/0!</v>
      </c>
      <c r="E10" s="815" t="e">
        <f>MAX(SUM('Primary Sources'!O11:O35)-'Existing Management Practices'!D129-'Existing Management Practices'!D130-'Existing Management Practices'!D132-'Existing Management Practices'!D133-'Existing Management Practices'!D134-'Existing Management Practices'!D135-'Existing Management Practices'!D136-'Existing Management Practices'!D137+'Secondary Sources'!D119,SUM('Primary Sources'!$D$11:$D$35)*'Primary Sources'!K36)</f>
        <v>#DIV/0!</v>
      </c>
      <c r="F10" s="815" t="e">
        <f>MAX(SUM('Primary Sources'!P11:P35)-'Existing Management Practices'!E129-'Existing Management Practices'!E130-'Existing Management Practices'!E132-'Existing Management Practices'!E133-'Existing Management Practices'!E134-'Existing Management Practices'!E135-'Existing Management Practices'!E136-'Existing Management Practices'!E137+'Secondary Sources'!E119,SUM('Primary Sources'!$D$11:$D$35)*'Primary Sources'!L36)</f>
        <v>#DIV/0!</v>
      </c>
      <c r="G10" s="816" t="e">
        <f>MAX(SUM('Primary Sources'!Q11:Q35)-'Existing Management Practices'!F129-'Existing Management Practices'!F130-'Existing Management Practices'!F132-'Existing Management Practices'!F133-'Existing Management Practices'!F134-'Existing Management Practices'!F135-'Existing Management Practices'!F136-'Existing Management Practices'!F137+'Secondary Sources'!F119,SUM('Primary Sources'!$D$11:$D$35)*'Primary Sources'!M36)</f>
        <v>#DIV/0!</v>
      </c>
    </row>
    <row r="11" spans="2:7" ht="15">
      <c r="B11" s="817" t="s">
        <v>39</v>
      </c>
      <c r="C11" s="818">
        <f>'Primary Sources'!D52</f>
        <v>0</v>
      </c>
      <c r="D11" s="988">
        <f>'Secondary Sources'!C114-'Existing Management Practices'!C131</f>
        <v>0</v>
      </c>
      <c r="E11" s="819">
        <f>'Secondary Sources'!D114-'Existing Management Practices'!D131</f>
        <v>0</v>
      </c>
      <c r="F11" s="819">
        <f>'Secondary Sources'!E114-'Existing Management Practices'!E131+0</f>
        <v>0</v>
      </c>
      <c r="G11" s="820">
        <f>'Secondary Sources'!F114-'Existing Management Practices'!F131+0</f>
        <v>0</v>
      </c>
    </row>
    <row r="12" spans="2:7" ht="15">
      <c r="B12" s="817" t="s">
        <v>41</v>
      </c>
      <c r="C12" s="821"/>
      <c r="D12" s="989">
        <f>'Secondary Sources'!C115</f>
        <v>0</v>
      </c>
      <c r="E12" s="819">
        <f>'Secondary Sources'!D115</f>
        <v>0</v>
      </c>
      <c r="F12" s="819">
        <f>'Secondary Sources'!E115</f>
        <v>0</v>
      </c>
      <c r="G12" s="820">
        <f>'Secondary Sources'!F115</f>
        <v>0</v>
      </c>
    </row>
    <row r="13" spans="2:7" ht="15">
      <c r="B13" s="817" t="s">
        <v>44</v>
      </c>
      <c r="C13" s="821"/>
      <c r="D13" s="989">
        <f>'Secondary Sources'!C116</f>
        <v>0</v>
      </c>
      <c r="E13" s="819">
        <f>'Secondary Sources'!D116</f>
        <v>0</v>
      </c>
      <c r="F13" s="819">
        <f>'Secondary Sources'!E116</f>
        <v>0</v>
      </c>
      <c r="G13" s="820">
        <f>'Secondary Sources'!F116</f>
        <v>0</v>
      </c>
    </row>
    <row r="14" spans="2:7" ht="15">
      <c r="B14" s="817" t="s">
        <v>48</v>
      </c>
      <c r="C14" s="821"/>
      <c r="D14" s="989">
        <f>'Secondary Sources'!C117</f>
        <v>0</v>
      </c>
      <c r="E14" s="819">
        <f>'Secondary Sources'!D117</f>
        <v>0</v>
      </c>
      <c r="F14" s="819">
        <f>'Secondary Sources'!E117</f>
        <v>0</v>
      </c>
      <c r="G14" s="820">
        <f>'Secondary Sources'!F117</f>
        <v>0</v>
      </c>
    </row>
    <row r="15" spans="2:8" ht="15">
      <c r="B15" s="817" t="s">
        <v>51</v>
      </c>
      <c r="C15" s="821"/>
      <c r="D15" s="989" t="e">
        <f>'Secondary Sources'!C118</f>
        <v>#DIV/0!</v>
      </c>
      <c r="E15" s="819" t="e">
        <f>'Secondary Sources'!D118</f>
        <v>#DIV/0!</v>
      </c>
      <c r="F15" s="819" t="e">
        <f>'Secondary Sources'!E118</f>
        <v>#DIV/0!</v>
      </c>
      <c r="G15" s="820">
        <f>'Secondary Sources'!F118</f>
        <v>0</v>
      </c>
      <c r="H15" s="823"/>
    </row>
    <row r="16" spans="2:8" ht="15">
      <c r="B16" s="881" t="s">
        <v>60</v>
      </c>
      <c r="C16" s="882"/>
      <c r="D16" s="990">
        <f>'Secondary Sources'!C121-'Existing Management Practices'!D138</f>
        <v>0</v>
      </c>
      <c r="E16" s="884">
        <f>'Secondary Sources'!D121-'Existing Management Practices'!E138</f>
        <v>0</v>
      </c>
      <c r="F16" s="884">
        <f>'Secondary Sources'!E121-'Existing Management Practices'!F138</f>
        <v>0</v>
      </c>
      <c r="G16" s="885">
        <f>'Secondary Sources'!F121-'Existing Management Practices'!G138</f>
        <v>0</v>
      </c>
      <c r="H16" s="823"/>
    </row>
    <row r="17" spans="2:7" ht="15">
      <c r="B17" s="817" t="s">
        <v>65</v>
      </c>
      <c r="C17" s="821"/>
      <c r="D17" s="988">
        <f>'Secondary Sources'!C122-'Existing Management Practices'!C133</f>
        <v>0</v>
      </c>
      <c r="E17" s="819">
        <f>'Secondary Sources'!D122-'Existing Management Practices'!D133</f>
        <v>0</v>
      </c>
      <c r="F17" s="819" t="e">
        <f>'Secondary Sources'!E122-'Existing Management Practices'!E133</f>
        <v>#DIV/0!</v>
      </c>
      <c r="G17" s="820">
        <f>'Secondary Sources'!F122-'Existing Management Practices'!F133</f>
        <v>0</v>
      </c>
    </row>
    <row r="18" spans="2:7" ht="15">
      <c r="B18" s="817" t="s">
        <v>377</v>
      </c>
      <c r="C18" s="821"/>
      <c r="D18" s="988">
        <f>'Secondary Sources'!C123</f>
        <v>0</v>
      </c>
      <c r="E18" s="819">
        <f>'Secondary Sources'!D123</f>
        <v>0</v>
      </c>
      <c r="F18" s="819">
        <f>'Secondary Sources'!E123</f>
        <v>0</v>
      </c>
      <c r="G18" s="820">
        <f>'Secondary Sources'!F123</f>
        <v>0</v>
      </c>
    </row>
    <row r="19" spans="2:7" ht="15.75" thickBot="1">
      <c r="B19" s="824" t="s">
        <v>311</v>
      </c>
      <c r="C19" s="825">
        <f>'Secondary Sources'!C124</f>
        <v>0</v>
      </c>
      <c r="D19" s="991">
        <f>'Secondary Sources'!C124</f>
        <v>0</v>
      </c>
      <c r="E19" s="826">
        <f>'Secondary Sources'!D124</f>
        <v>0</v>
      </c>
      <c r="F19" s="826">
        <f>'Secondary Sources'!E124</f>
        <v>0</v>
      </c>
      <c r="G19" s="827">
        <f>'Secondary Sources'!F124</f>
        <v>0</v>
      </c>
    </row>
    <row r="20" spans="2:7" ht="14.25">
      <c r="B20" s="828"/>
      <c r="C20" s="829"/>
      <c r="D20" s="992"/>
      <c r="E20" s="830"/>
      <c r="F20" s="830"/>
      <c r="G20" s="831"/>
    </row>
    <row r="21" spans="2:7" ht="15">
      <c r="B21" s="832" t="s">
        <v>331</v>
      </c>
      <c r="C21" s="810"/>
      <c r="D21" s="993"/>
      <c r="E21" s="811"/>
      <c r="F21" s="811"/>
      <c r="G21" s="812"/>
    </row>
    <row r="22" spans="2:7" ht="15">
      <c r="B22" s="832"/>
      <c r="C22" s="810"/>
      <c r="D22" s="993"/>
      <c r="E22" s="811"/>
      <c r="F22" s="811"/>
      <c r="G22" s="812"/>
    </row>
    <row r="23" spans="2:7" ht="15">
      <c r="B23" s="817" t="s">
        <v>333</v>
      </c>
      <c r="C23" s="818">
        <f>'Primary Sources'!D41</f>
        <v>0</v>
      </c>
      <c r="D23" s="994">
        <f>'Primary Sources'!N41</f>
        <v>0</v>
      </c>
      <c r="E23" s="819">
        <f>'Primary Sources'!O41</f>
        <v>0</v>
      </c>
      <c r="F23" s="819">
        <f>'Primary Sources'!P41</f>
        <v>0</v>
      </c>
      <c r="G23" s="820">
        <f>'Primary Sources'!Q41</f>
        <v>0</v>
      </c>
    </row>
    <row r="24" spans="2:7" ht="15">
      <c r="B24" s="817" t="s">
        <v>16</v>
      </c>
      <c r="C24" s="818">
        <f>'Primary Sources'!D36</f>
        <v>0</v>
      </c>
      <c r="D24" s="994">
        <f>'Primary Sources'!N36</f>
        <v>0</v>
      </c>
      <c r="E24" s="819">
        <f>'Primary Sources'!O36</f>
        <v>0</v>
      </c>
      <c r="F24" s="819">
        <f>'Primary Sources'!P36</f>
        <v>0</v>
      </c>
      <c r="G24" s="820">
        <f>'Primary Sources'!Q36</f>
        <v>0</v>
      </c>
    </row>
    <row r="25" spans="2:7" ht="15">
      <c r="B25" s="881" t="s">
        <v>376</v>
      </c>
      <c r="C25" s="886"/>
      <c r="D25" s="995">
        <f>'Secondary Sources'!C120</f>
        <v>0</v>
      </c>
      <c r="E25" s="884">
        <f>'Secondary Sources'!D120</f>
        <v>0</v>
      </c>
      <c r="F25" s="884">
        <f>'Secondary Sources'!E120</f>
        <v>0</v>
      </c>
      <c r="G25" s="885">
        <f>'Secondary Sources'!F120</f>
        <v>0</v>
      </c>
    </row>
    <row r="26" spans="2:7" ht="15">
      <c r="B26" s="834"/>
      <c r="C26" s="835"/>
      <c r="D26" s="996"/>
      <c r="E26" s="836"/>
      <c r="F26" s="836"/>
      <c r="G26" s="837"/>
    </row>
    <row r="27" spans="2:7" ht="15">
      <c r="B27" s="832" t="s">
        <v>18</v>
      </c>
      <c r="C27" s="810">
        <f>'Primary Sources'!D51</f>
        <v>0</v>
      </c>
      <c r="D27" s="993">
        <f>'Primary Sources'!N51</f>
        <v>0</v>
      </c>
      <c r="E27" s="811">
        <f>'Primary Sources'!O51</f>
        <v>0</v>
      </c>
      <c r="F27" s="811">
        <f>'Primary Sources'!P51</f>
        <v>0</v>
      </c>
      <c r="G27" s="812">
        <f>'Primary Sources'!Q51</f>
        <v>0</v>
      </c>
    </row>
    <row r="28" spans="2:7" ht="15.75" thickBot="1">
      <c r="B28" s="841"/>
      <c r="C28" s="842"/>
      <c r="D28" s="997"/>
      <c r="E28" s="843"/>
      <c r="F28" s="843"/>
      <c r="G28" s="844"/>
    </row>
    <row r="29" spans="2:7" ht="15.75" thickBot="1">
      <c r="B29" s="845" t="s">
        <v>332</v>
      </c>
      <c r="C29" s="846">
        <f>SUM(C10:C28)</f>
        <v>0</v>
      </c>
      <c r="D29" s="998" t="e">
        <f>SUM(D10:D28)</f>
        <v>#DIV/0!</v>
      </c>
      <c r="E29" s="948" t="e">
        <f>SUM(E10:E28)</f>
        <v>#DIV/0!</v>
      </c>
      <c r="F29" s="847" t="e">
        <f>SUM(F10:F28)</f>
        <v>#DIV/0!</v>
      </c>
      <c r="G29" s="848" t="e">
        <f>SUM(G10:G28)</f>
        <v>#DIV/0!</v>
      </c>
    </row>
    <row r="30" spans="2:7" ht="15.75" thickTop="1">
      <c r="B30" s="910" t="s">
        <v>336</v>
      </c>
      <c r="C30" s="908"/>
      <c r="D30" s="999" t="e">
        <f>D29-D31</f>
        <v>#DIV/0!</v>
      </c>
      <c r="E30" s="944" t="e">
        <f>E29-E31</f>
        <v>#DIV/0!</v>
      </c>
      <c r="F30" s="944" t="e">
        <f>F29-F31</f>
        <v>#DIV/0!</v>
      </c>
      <c r="G30" s="945" t="e">
        <f>G29-G31</f>
        <v>#DIV/0!</v>
      </c>
    </row>
    <row r="31" spans="2:7" ht="15.75" thickBot="1">
      <c r="B31" s="911" t="s">
        <v>337</v>
      </c>
      <c r="C31" s="909"/>
      <c r="D31" s="1000">
        <f>D12*(1-'Secondary Sources'!$C30)+D14+D16+D18+(D23+D24)*(1-'Primary Sources'!C59)+D27+'Secondary Sources'!C119-(1-'Existing Management Practices'!E16)*'Existing Management Practices'!C129</f>
        <v>0</v>
      </c>
      <c r="E31" s="946">
        <f>E12*(1-'Secondary Sources'!$C30)+E14+E16+E18+(E23+E24)*(1-'Primary Sources'!D59)+E27+'Secondary Sources'!D119-(1-'Existing Management Practices'!F16)*'Existing Management Practices'!D129</f>
        <v>0</v>
      </c>
      <c r="F31" s="946">
        <f>F12*(1-'Secondary Sources'!$C30)+F14+F16+F18+(F23+F24)*(1-'Primary Sources'!E59)+F27+'Secondary Sources'!E119-(1-'Existing Management Practices'!G16)*'Existing Management Practices'!E129</f>
        <v>0</v>
      </c>
      <c r="G31" s="947">
        <f>G12*(1-'Secondary Sources'!$C30)+G14+G16+G18+(G23+G24)*(1-'Primary Sources'!F59)+G27+'Secondary Sources'!F119-(1-'Existing Management Practices'!H16)*'Existing Management Practices'!F129</f>
        <v>0</v>
      </c>
    </row>
    <row r="32" spans="3:7" ht="15" thickTop="1">
      <c r="C32" s="839"/>
      <c r="F32" s="852"/>
      <c r="G32" s="852"/>
    </row>
    <row r="33" spans="3:7" ht="14.25">
      <c r="C33" s="840"/>
      <c r="D33" s="1001"/>
      <c r="E33" s="840"/>
      <c r="F33" s="838"/>
      <c r="G33" s="838"/>
    </row>
    <row r="34" spans="3:7" ht="14.25">
      <c r="C34" s="840"/>
      <c r="D34" s="1001"/>
      <c r="E34" s="840"/>
      <c r="F34" s="840"/>
      <c r="G34" s="840"/>
    </row>
    <row r="35" spans="3:7" ht="14.25">
      <c r="C35" s="840"/>
      <c r="D35" s="1001"/>
      <c r="E35" s="840"/>
      <c r="F35" s="823"/>
      <c r="G35" s="823"/>
    </row>
    <row r="36" spans="3:7" ht="14.25">
      <c r="C36" s="823"/>
      <c r="D36" s="1002"/>
      <c r="E36" s="823"/>
      <c r="F36" s="823"/>
      <c r="G36" s="823"/>
    </row>
    <row r="37" spans="3:39" ht="14.25">
      <c r="C37" s="823"/>
      <c r="D37" s="1002"/>
      <c r="E37" s="823"/>
      <c r="F37" s="823"/>
      <c r="G37" s="823"/>
      <c r="AK37" s="823"/>
      <c r="AL37" s="823"/>
      <c r="AM37" s="823"/>
    </row>
    <row r="38" spans="3:39" ht="14.25">
      <c r="C38" s="823"/>
      <c r="D38" s="1002"/>
      <c r="E38" s="823"/>
      <c r="F38" s="823"/>
      <c r="G38" s="823"/>
      <c r="AK38" s="823"/>
      <c r="AL38" s="823"/>
      <c r="AM38" s="823"/>
    </row>
    <row r="39" spans="3:39" ht="14.25">
      <c r="C39" s="823"/>
      <c r="D39" s="1002"/>
      <c r="E39" s="823"/>
      <c r="F39" s="823"/>
      <c r="G39" s="823"/>
      <c r="AK39" s="823"/>
      <c r="AL39" s="823"/>
      <c r="AM39" s="823"/>
    </row>
    <row r="40" spans="3:39" ht="14.25">
      <c r="C40" s="823"/>
      <c r="D40" s="1002"/>
      <c r="E40" s="823"/>
      <c r="F40" s="823"/>
      <c r="G40" s="823"/>
      <c r="AK40" s="823"/>
      <c r="AL40" s="823"/>
      <c r="AM40" s="823"/>
    </row>
    <row r="41" spans="3:39" ht="14.25">
      <c r="C41" s="823"/>
      <c r="D41" s="1002"/>
      <c r="E41" s="823"/>
      <c r="F41" s="823"/>
      <c r="G41" s="823"/>
      <c r="AK41" s="823"/>
      <c r="AL41" s="823"/>
      <c r="AM41" s="823"/>
    </row>
    <row r="42" spans="3:39" ht="14.25">
      <c r="C42" s="823"/>
      <c r="D42" s="1002"/>
      <c r="E42" s="823"/>
      <c r="F42" s="823"/>
      <c r="G42" s="823"/>
      <c r="AK42" s="823"/>
      <c r="AL42" s="823"/>
      <c r="AM42" s="823"/>
    </row>
    <row r="43" spans="3:39" ht="14.25">
      <c r="C43" s="823"/>
      <c r="D43" s="1002"/>
      <c r="E43" s="823"/>
      <c r="F43" s="823"/>
      <c r="G43" s="823"/>
      <c r="AK43" s="823"/>
      <c r="AL43" s="823"/>
      <c r="AM43" s="823"/>
    </row>
    <row r="44" spans="3:39" ht="14.25">
      <c r="C44" s="823"/>
      <c r="D44" s="1002"/>
      <c r="E44" s="823"/>
      <c r="F44" s="823"/>
      <c r="G44" s="823"/>
      <c r="AK44" s="823"/>
      <c r="AL44" s="823"/>
      <c r="AM44" s="823"/>
    </row>
    <row r="45" spans="3:39" ht="14.25">
      <c r="C45" s="823"/>
      <c r="D45" s="1002"/>
      <c r="E45" s="823"/>
      <c r="F45" s="823"/>
      <c r="G45" s="823"/>
      <c r="AK45" s="823"/>
      <c r="AL45" s="823"/>
      <c r="AM45" s="823"/>
    </row>
    <row r="46" spans="3:39" ht="14.25">
      <c r="C46" s="823"/>
      <c r="D46" s="1002"/>
      <c r="E46" s="823"/>
      <c r="F46" s="823"/>
      <c r="G46" s="823"/>
      <c r="AK46" s="823"/>
      <c r="AL46" s="823"/>
      <c r="AM46" s="823"/>
    </row>
    <row r="47" spans="3:39" ht="14.25">
      <c r="C47" s="823"/>
      <c r="D47" s="1002"/>
      <c r="E47" s="823"/>
      <c r="F47" s="823"/>
      <c r="G47" s="823"/>
      <c r="AK47" s="823"/>
      <c r="AL47" s="823"/>
      <c r="AM47" s="823"/>
    </row>
    <row r="48" spans="3:39" ht="14.25">
      <c r="C48" s="823"/>
      <c r="D48" s="1002"/>
      <c r="E48" s="823"/>
      <c r="F48" s="823"/>
      <c r="G48" s="823"/>
      <c r="AK48" s="823"/>
      <c r="AL48" s="823"/>
      <c r="AM48" s="823"/>
    </row>
    <row r="49" spans="3:39" ht="14.25">
      <c r="C49" s="823"/>
      <c r="D49" s="1002"/>
      <c r="E49" s="823"/>
      <c r="F49" s="823"/>
      <c r="G49" s="823"/>
      <c r="AK49" s="823"/>
      <c r="AL49" s="823"/>
      <c r="AM49" s="823"/>
    </row>
    <row r="50" spans="3:39" ht="14.25">
      <c r="C50" s="823"/>
      <c r="D50" s="1002"/>
      <c r="E50" s="823"/>
      <c r="F50" s="823"/>
      <c r="G50" s="823"/>
      <c r="AK50" s="823"/>
      <c r="AL50" s="823"/>
      <c r="AM50" s="823"/>
    </row>
    <row r="51" spans="3:39" ht="14.25">
      <c r="C51" s="823"/>
      <c r="D51" s="1002"/>
      <c r="E51" s="823"/>
      <c r="F51" s="823"/>
      <c r="G51" s="823"/>
      <c r="AK51" s="823"/>
      <c r="AL51" s="823"/>
      <c r="AM51" s="823"/>
    </row>
    <row r="52" spans="3:39" ht="14.25">
      <c r="C52" s="823"/>
      <c r="D52" s="1002"/>
      <c r="E52" s="823"/>
      <c r="F52" s="823"/>
      <c r="G52" s="823"/>
      <c r="AK52" s="823"/>
      <c r="AL52" s="823"/>
      <c r="AM52" s="823"/>
    </row>
    <row r="53" spans="3:39" ht="14.25">
      <c r="C53" s="823"/>
      <c r="D53" s="1002"/>
      <c r="E53" s="823"/>
      <c r="F53" s="823"/>
      <c r="G53" s="823"/>
      <c r="AK53" s="823"/>
      <c r="AL53" s="823"/>
      <c r="AM53" s="823"/>
    </row>
    <row r="54" spans="3:39" ht="14.25">
      <c r="C54" s="823"/>
      <c r="D54" s="1002"/>
      <c r="E54" s="823"/>
      <c r="F54" s="823"/>
      <c r="G54" s="823"/>
      <c r="AK54" s="823"/>
      <c r="AL54" s="823"/>
      <c r="AM54" s="823"/>
    </row>
    <row r="55" spans="3:39" ht="14.25">
      <c r="C55" s="823"/>
      <c r="D55" s="1002"/>
      <c r="E55" s="823"/>
      <c r="F55" s="823"/>
      <c r="G55" s="823"/>
      <c r="AK55" s="823"/>
      <c r="AL55" s="823"/>
      <c r="AM55" s="823"/>
    </row>
    <row r="56" spans="3:39" ht="14.25">
      <c r="C56" s="823"/>
      <c r="D56" s="1002"/>
      <c r="E56" s="823"/>
      <c r="F56" s="823"/>
      <c r="G56" s="823"/>
      <c r="AK56" s="823"/>
      <c r="AL56" s="823"/>
      <c r="AM56" s="823"/>
    </row>
    <row r="57" spans="3:39" ht="14.25">
      <c r="C57" s="823"/>
      <c r="D57" s="1002"/>
      <c r="E57" s="823"/>
      <c r="F57" s="823"/>
      <c r="G57" s="823"/>
      <c r="AK57" s="823"/>
      <c r="AL57" s="823"/>
      <c r="AM57" s="823"/>
    </row>
    <row r="58" spans="3:39" ht="14.25">
      <c r="C58" s="823"/>
      <c r="D58" s="1002"/>
      <c r="E58" s="823"/>
      <c r="F58" s="823"/>
      <c r="G58" s="823"/>
      <c r="AK58" s="823"/>
      <c r="AL58" s="823"/>
      <c r="AM58" s="823"/>
    </row>
    <row r="59" spans="3:39" ht="14.25">
      <c r="C59" s="823"/>
      <c r="D59" s="1002"/>
      <c r="E59" s="823"/>
      <c r="F59" s="823"/>
      <c r="G59" s="823"/>
      <c r="AK59" s="823"/>
      <c r="AL59" s="823"/>
      <c r="AM59" s="823"/>
    </row>
    <row r="60" spans="3:39" ht="14.25">
      <c r="C60" s="823"/>
      <c r="D60" s="1002"/>
      <c r="E60" s="823"/>
      <c r="F60" s="823"/>
      <c r="G60" s="823"/>
      <c r="AK60" s="823"/>
      <c r="AL60" s="823"/>
      <c r="AM60" s="823"/>
    </row>
    <row r="61" spans="3:39" ht="14.25">
      <c r="C61" s="840"/>
      <c r="AK61" s="823"/>
      <c r="AL61" s="823"/>
      <c r="AM61" s="823"/>
    </row>
    <row r="62" ht="14.25">
      <c r="C62" s="840"/>
    </row>
    <row r="63" ht="14.25">
      <c r="C63" s="840"/>
    </row>
    <row r="64" ht="14.25">
      <c r="C64" s="840"/>
    </row>
    <row r="65" ht="14.25">
      <c r="C65" s="84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 Caraco</dc:creator>
  <cp:keywords/>
  <dc:description/>
  <cp:lastModifiedBy>Deb Caraco</cp:lastModifiedBy>
  <cp:lastPrinted>2002-12-06T17:19:32Z</cp:lastPrinted>
  <dcterms:created xsi:type="dcterms:W3CDTF">1999-12-20T15:39:26Z</dcterms:created>
  <dcterms:modified xsi:type="dcterms:W3CDTF">2003-11-17T15:48:49Z</dcterms:modified>
  <cp:category/>
  <cp:version/>
  <cp:contentType/>
  <cp:contentStatus/>
</cp:coreProperties>
</file>